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NGHỈ HƯU, NGHỈ THÔI VIỆC, TINH GIẢN\NGHỈ TINH GIẢN BIÊN CHẾ NĐ 154\Hồ sơ nghỉ tinh giản của CBCCVC\2026\"/>
    </mc:Choice>
  </mc:AlternateContent>
  <xr:revisionPtr revIDLastSave="0" documentId="13_ncr:1_{3787DB32-985E-41D0-823E-6E5088DD6344}" xr6:coauthVersionLast="47" xr6:coauthVersionMax="47" xr10:uidLastSave="{00000000-0000-0000-0000-000000000000}"/>
  <bookViews>
    <workbookView xWindow="-120" yWindow="-120" windowWidth="20730" windowHeight="11040" firstSheet="1" activeTab="1" xr2:uid="{00000000-000D-0000-FFFF-FFFF00000000}"/>
  </bookViews>
  <sheets>
    <sheet name="3- báo cáo" sheetId="34" state="hidden" r:id="rId1"/>
    <sheet name="KH" sheetId="42" r:id="rId2"/>
    <sheet name="1a-Trình BNV" sheetId="16" state="hidden" r:id="rId3"/>
    <sheet name="1c-Trình BNV" sheetId="17" state="hidden" r:id="rId4"/>
    <sheet name="Biểu 2 " sheetId="19" state="hidden" r:id="rId5"/>
    <sheet name="Hưu - chi tiết " sheetId="36" state="hidden" r:id="rId6"/>
    <sheet name="Hưu - chi tiết  (2)" sheetId="38" state="hidden" r:id="rId7"/>
    <sheet name="TVN-Chi tiết" sheetId="37" state="hidden" r:id="rId8"/>
    <sheet name="1b-Chuyển sang tổ chức" sheetId="2" state="hidden" r:id="rId9"/>
    <sheet name="1d-Thôi việc sau khi đi học" sheetId="4" state="hidden" r:id="rId10"/>
    <sheet name="3-Báo cáo" sheetId="6" state="hidden" r:id="rId11"/>
    <sheet name="4-Báo cáo" sheetId="7" state="hidden" r:id="rId12"/>
    <sheet name="5-Báo cáo" sheetId="8" state="hidden" r:id="rId13"/>
  </sheets>
  <externalReferences>
    <externalReference r:id="rId14"/>
  </externalReferences>
  <definedNames>
    <definedName name="_xlnm._FilterDatabase" localSheetId="4" hidden="1">'Biểu 2 '!$A$14:$AK$24</definedName>
    <definedName name="_xlnm._FilterDatabase" localSheetId="5" hidden="1">'Hưu - chi tiết '!$A$14:$A$38</definedName>
    <definedName name="_xlnm._FilterDatabase" localSheetId="6" hidden="1">'Hưu - chi tiết  (2)'!$A$14:$A$15</definedName>
    <definedName name="_xlnm.Print_Area" localSheetId="0">'3- báo cáo'!$B$1:$AF$74</definedName>
    <definedName name="_xlnm.Print_Titles" localSheetId="2">'1a-Trình BNV'!$A:$C,'1a-Trình BNV'!$7:$8</definedName>
    <definedName name="_xlnm.Print_Titles" localSheetId="3">'1c-Trình BNV'!$A:$C,'1c-Trình BNV'!$7:$8</definedName>
    <definedName name="_xlnm.Print_Titles" localSheetId="0">'3- báo cáo'!$14:$16</definedName>
    <definedName name="_xlnm.Print_Titles" localSheetId="4">'Biểu 2 '!$14:$16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11" i="42" l="1"/>
  <c r="P12" i="42" l="1"/>
  <c r="AD12" i="42" s="1"/>
  <c r="AB12" i="42" l="1"/>
  <c r="Z12" i="42" s="1"/>
  <c r="AC12" i="42"/>
  <c r="P11" i="42" l="1"/>
  <c r="AB11" i="42" l="1"/>
  <c r="AC11" i="42"/>
  <c r="Z11" i="42" l="1"/>
  <c r="AD10" i="42" l="1"/>
  <c r="AB10" i="42" l="1"/>
  <c r="AC10" i="42" l="1"/>
  <c r="Z10" i="42" l="1"/>
  <c r="T17" i="36"/>
  <c r="E17" i="36"/>
  <c r="D17" i="19"/>
  <c r="D25" i="19"/>
  <c r="AF25" i="19"/>
  <c r="AD25" i="19" s="1"/>
  <c r="Z25" i="19"/>
  <c r="AD27" i="19"/>
  <c r="AD26" i="19"/>
  <c r="AJ25" i="19"/>
  <c r="AI25" i="19"/>
  <c r="AJ17" i="19"/>
  <c r="Z22" i="19" l="1"/>
  <c r="AF22" i="19"/>
  <c r="AD22" i="19" s="1"/>
  <c r="AF19" i="19"/>
  <c r="AF18" i="19" s="1"/>
  <c r="AF17" i="19" s="1"/>
  <c r="AD17" i="19" s="1"/>
  <c r="D22" i="19"/>
  <c r="AD23" i="19"/>
  <c r="AD20" i="19"/>
  <c r="AA45" i="36"/>
  <c r="V45" i="36"/>
  <c r="AC45" i="36" s="1"/>
  <c r="AA42" i="36"/>
  <c r="V42" i="36"/>
  <c r="AC42" i="36" s="1"/>
  <c r="AA41" i="36"/>
  <c r="V41" i="36"/>
  <c r="AA40" i="36"/>
  <c r="V40" i="36"/>
  <c r="AC40" i="36" s="1"/>
  <c r="AH39" i="36"/>
  <c r="AJ39" i="36" s="1"/>
  <c r="AA39" i="36"/>
  <c r="T39" i="36"/>
  <c r="V39" i="36" s="1"/>
  <c r="T44" i="36"/>
  <c r="V44" i="36" s="1"/>
  <c r="AH44" i="36"/>
  <c r="AJ44" i="36" s="1"/>
  <c r="AA48" i="36"/>
  <c r="V48" i="36"/>
  <c r="AA47" i="36"/>
  <c r="V47" i="36"/>
  <c r="AC47" i="36" s="1"/>
  <c r="AA46" i="36"/>
  <c r="V46" i="36"/>
  <c r="AA44" i="36"/>
  <c r="AA36" i="36"/>
  <c r="V36" i="36"/>
  <c r="T29" i="36"/>
  <c r="V17" i="36"/>
  <c r="V28" i="36" s="1"/>
  <c r="AA17" i="36"/>
  <c r="AH17" i="36"/>
  <c r="AJ17" i="36" s="1"/>
  <c r="V18" i="36"/>
  <c r="AA18" i="36"/>
  <c r="V19" i="36"/>
  <c r="AA19" i="36"/>
  <c r="V20" i="36"/>
  <c r="AA20" i="36"/>
  <c r="V21" i="36"/>
  <c r="AA21" i="36"/>
  <c r="V22" i="36"/>
  <c r="AA22" i="36"/>
  <c r="V23" i="36"/>
  <c r="AA23" i="36"/>
  <c r="V24" i="36"/>
  <c r="AA24" i="36"/>
  <c r="V25" i="36"/>
  <c r="AA25" i="36"/>
  <c r="V26" i="36"/>
  <c r="AA26" i="36"/>
  <c r="V27" i="36"/>
  <c r="AA27" i="36"/>
  <c r="D18" i="19"/>
  <c r="D19" i="19"/>
  <c r="AL19" i="19"/>
  <c r="AK19" i="19"/>
  <c r="AM19" i="19"/>
  <c r="AE22" i="19"/>
  <c r="Z19" i="19"/>
  <c r="Z18" i="19" s="1"/>
  <c r="Z17" i="19" s="1"/>
  <c r="AD24" i="19"/>
  <c r="AD36" i="19"/>
  <c r="T32" i="37"/>
  <c r="AA21" i="37"/>
  <c r="V21" i="37"/>
  <c r="AA20" i="37"/>
  <c r="V20" i="37"/>
  <c r="AA23" i="37"/>
  <c r="AD17" i="37" s="1"/>
  <c r="AL17" i="37" s="1"/>
  <c r="V23" i="37"/>
  <c r="AA22" i="37"/>
  <c r="V22" i="37"/>
  <c r="AA19" i="37"/>
  <c r="V19" i="37"/>
  <c r="AA18" i="37"/>
  <c r="V18" i="37"/>
  <c r="AI17" i="37"/>
  <c r="AJ17" i="37" s="1"/>
  <c r="AA17" i="37"/>
  <c r="T17" i="37"/>
  <c r="V17" i="37" s="1"/>
  <c r="AA29" i="37"/>
  <c r="V29" i="37"/>
  <c r="V26" i="37"/>
  <c r="AA26" i="37"/>
  <c r="V31" i="36"/>
  <c r="AA31" i="36"/>
  <c r="AC22" i="36" l="1"/>
  <c r="AC26" i="37"/>
  <c r="AC18" i="37"/>
  <c r="AC26" i="36"/>
  <c r="AC23" i="36"/>
  <c r="AC31" i="36"/>
  <c r="AC19" i="36"/>
  <c r="AC24" i="36"/>
  <c r="AC19" i="37"/>
  <c r="AC48" i="36"/>
  <c r="AC20" i="36"/>
  <c r="AC22" i="37"/>
  <c r="AC17" i="36"/>
  <c r="AC28" i="36" s="1"/>
  <c r="AD17" i="36" s="1"/>
  <c r="AM17" i="36" s="1"/>
  <c r="AC36" i="36"/>
  <c r="AC27" i="36"/>
  <c r="AC20" i="37"/>
  <c r="AC18" i="36"/>
  <c r="AC21" i="37"/>
  <c r="AC21" i="36"/>
  <c r="AC25" i="36"/>
  <c r="AD19" i="19"/>
  <c r="AC29" i="37"/>
  <c r="AC23" i="37"/>
  <c r="AC46" i="36"/>
  <c r="AC41" i="36"/>
  <c r="AL17" i="36"/>
  <c r="AK17" i="36" s="1"/>
  <c r="AN17" i="36"/>
  <c r="AK17" i="19"/>
  <c r="AK25" i="19"/>
  <c r="AD18" i="19"/>
  <c r="V43" i="36"/>
  <c r="AC39" i="36"/>
  <c r="V49" i="36"/>
  <c r="AC44" i="36"/>
  <c r="V24" i="37"/>
  <c r="AC17" i="37"/>
  <c r="AC24" i="37" l="1"/>
  <c r="AE17" i="37" s="1"/>
  <c r="AM17" i="37" s="1"/>
  <c r="AK17" i="37" s="1"/>
  <c r="AC49" i="36"/>
  <c r="AD44" i="36" s="1"/>
  <c r="AL44" i="36" s="1"/>
  <c r="AC43" i="36"/>
  <c r="AD39" i="36" s="1"/>
  <c r="AN44" i="36"/>
  <c r="AA37" i="36"/>
  <c r="V37" i="36"/>
  <c r="AA35" i="36"/>
  <c r="V35" i="36"/>
  <c r="AA34" i="36"/>
  <c r="V34" i="36"/>
  <c r="AA33" i="36"/>
  <c r="V33" i="36"/>
  <c r="AA32" i="36"/>
  <c r="V32" i="36"/>
  <c r="AA30" i="36"/>
  <c r="V30" i="36"/>
  <c r="AH29" i="36"/>
  <c r="AJ29" i="36" s="1"/>
  <c r="AA29" i="36"/>
  <c r="V29" i="36"/>
  <c r="AM44" i="36" l="1"/>
  <c r="AL39" i="36"/>
  <c r="AN39" i="36"/>
  <c r="AK39" i="36" s="1"/>
  <c r="AM39" i="36"/>
  <c r="AK44" i="36"/>
  <c r="AC30" i="36"/>
  <c r="AC33" i="36"/>
  <c r="AC34" i="36"/>
  <c r="AC35" i="36"/>
  <c r="AC37" i="36"/>
  <c r="AC32" i="36"/>
  <c r="V38" i="36"/>
  <c r="AC29" i="36"/>
  <c r="AC38" i="36" l="1"/>
  <c r="AD29" i="36" s="1"/>
  <c r="AL29" i="36" s="1"/>
  <c r="AN29" i="36" l="1"/>
  <c r="AM29" i="36"/>
  <c r="AK29" i="36" l="1"/>
  <c r="AA22" i="38" l="1"/>
  <c r="V22" i="38"/>
  <c r="AC22" i="38" s="1"/>
  <c r="AA21" i="38"/>
  <c r="V21" i="38"/>
  <c r="AA20" i="38"/>
  <c r="V20" i="38"/>
  <c r="AC20" i="38" s="1"/>
  <c r="AA19" i="38"/>
  <c r="V19" i="38"/>
  <c r="AC19" i="38" s="1"/>
  <c r="AA18" i="38"/>
  <c r="V18" i="38"/>
  <c r="AA17" i="38"/>
  <c r="V17" i="38"/>
  <c r="AC17" i="38" s="1"/>
  <c r="AA16" i="38"/>
  <c r="T16" i="38"/>
  <c r="V16" i="38" s="1"/>
  <c r="AC16" i="38" s="1"/>
  <c r="E16" i="38"/>
  <c r="AH16" i="38" s="1"/>
  <c r="AJ16" i="38" s="1"/>
  <c r="AA35" i="37"/>
  <c r="AD32" i="37" s="1"/>
  <c r="AL32" i="37" s="1"/>
  <c r="V35" i="37"/>
  <c r="AA33" i="37"/>
  <c r="V33" i="37"/>
  <c r="AA28" i="37"/>
  <c r="V28" i="37"/>
  <c r="AA30" i="37"/>
  <c r="AD25" i="37" s="1"/>
  <c r="AL25" i="37" s="1"/>
  <c r="V30" i="37"/>
  <c r="AA27" i="37"/>
  <c r="V27" i="37"/>
  <c r="AI25" i="37"/>
  <c r="AJ25" i="37" s="1"/>
  <c r="AA25" i="37"/>
  <c r="T25" i="37"/>
  <c r="V25" i="37" s="1"/>
  <c r="AD35" i="19"/>
  <c r="AD21" i="19"/>
  <c r="AI17" i="19" s="1"/>
  <c r="AA34" i="37"/>
  <c r="V34" i="37"/>
  <c r="AA54" i="37"/>
  <c r="AD51" i="37" s="1"/>
  <c r="AL51" i="37" s="1"/>
  <c r="V54" i="37"/>
  <c r="AA53" i="37"/>
  <c r="V53" i="37"/>
  <c r="AA52" i="37"/>
  <c r="V52" i="37"/>
  <c r="AI51" i="37"/>
  <c r="AJ51" i="37" s="1"/>
  <c r="AA51" i="37"/>
  <c r="T51" i="37"/>
  <c r="V51" i="37" s="1"/>
  <c r="AI32" i="37"/>
  <c r="AJ32" i="37" s="1"/>
  <c r="AA32" i="37"/>
  <c r="V32" i="37"/>
  <c r="AM16" i="37"/>
  <c r="AL16" i="37"/>
  <c r="AK16" i="37"/>
  <c r="D16" i="37"/>
  <c r="D16" i="36"/>
  <c r="AI27" i="34"/>
  <c r="AD27" i="34"/>
  <c r="AC27" i="34"/>
  <c r="AE63" i="34"/>
  <c r="AE62" i="34"/>
  <c r="AE61" i="34"/>
  <c r="AE60" i="34"/>
  <c r="AE59" i="34"/>
  <c r="AE58" i="34"/>
  <c r="AE57" i="34"/>
  <c r="AE56" i="34"/>
  <c r="AE55" i="34"/>
  <c r="AE54" i="34"/>
  <c r="AE53" i="34"/>
  <c r="AE52" i="34"/>
  <c r="AE51" i="34"/>
  <c r="AE50" i="34"/>
  <c r="AE49" i="34"/>
  <c r="AE48" i="34"/>
  <c r="AE47" i="34"/>
  <c r="AE46" i="34"/>
  <c r="AE45" i="34"/>
  <c r="AE44" i="34"/>
  <c r="AE43" i="34"/>
  <c r="AE42" i="34"/>
  <c r="AE41" i="34"/>
  <c r="AE40" i="34"/>
  <c r="AE39" i="34"/>
  <c r="AE38" i="34"/>
  <c r="AE37" i="34"/>
  <c r="AE36" i="34"/>
  <c r="AE35" i="34"/>
  <c r="AE34" i="34"/>
  <c r="AE33" i="34"/>
  <c r="AE32" i="34"/>
  <c r="AE31" i="34"/>
  <c r="AE30" i="34"/>
  <c r="AE29" i="34"/>
  <c r="AE28" i="34"/>
  <c r="AE24" i="34"/>
  <c r="AE23" i="34"/>
  <c r="AE21" i="34"/>
  <c r="AE20" i="34"/>
  <c r="AA74" i="34"/>
  <c r="Y74" i="34"/>
  <c r="D74" i="34"/>
  <c r="E67" i="34" s="1"/>
  <c r="AE67" i="34"/>
  <c r="AC67" i="34"/>
  <c r="E27" i="34"/>
  <c r="AE19" i="34"/>
  <c r="AH18" i="34"/>
  <c r="AD18" i="34"/>
  <c r="AC18" i="34"/>
  <c r="E18" i="34"/>
  <c r="E17" i="34"/>
  <c r="C11" i="4"/>
  <c r="AH11" i="4" s="1"/>
  <c r="Q11" i="4"/>
  <c r="R11" i="4"/>
  <c r="T11" i="4" s="1"/>
  <c r="Y11" i="4"/>
  <c r="T12" i="4"/>
  <c r="Y12" i="4"/>
  <c r="T13" i="4"/>
  <c r="Y13" i="4"/>
  <c r="T14" i="4"/>
  <c r="Y14" i="4"/>
  <c r="T15" i="4"/>
  <c r="Y15" i="4"/>
  <c r="AB11" i="4" s="1"/>
  <c r="Q12" i="2"/>
  <c r="Q13" i="2" s="1"/>
  <c r="R12" i="2"/>
  <c r="T12" i="2" s="1"/>
  <c r="Y12" i="2"/>
  <c r="AG12" i="2"/>
  <c r="AH12" i="2"/>
  <c r="AI12" i="2"/>
  <c r="P13" i="2"/>
  <c r="T13" i="2"/>
  <c r="Y13" i="2"/>
  <c r="T14" i="2"/>
  <c r="Y14" i="2"/>
  <c r="T15" i="2"/>
  <c r="Y15" i="2"/>
  <c r="T16" i="2"/>
  <c r="Y16" i="2"/>
  <c r="T17" i="2"/>
  <c r="Y17" i="2"/>
  <c r="AB12" i="2" s="1"/>
  <c r="AK12" i="2" s="1"/>
  <c r="W28" i="16"/>
  <c r="W40" i="16"/>
  <c r="X40" i="16"/>
  <c r="Y40" i="16"/>
  <c r="Z40" i="16"/>
  <c r="AM16" i="36"/>
  <c r="AN16" i="36"/>
  <c r="AL16" i="36"/>
  <c r="AK16" i="36"/>
  <c r="AK18" i="19"/>
  <c r="AJ18" i="19"/>
  <c r="AC17" i="34" l="1"/>
  <c r="AC74" i="34" s="1"/>
  <c r="AC91" i="34" s="1"/>
  <c r="AC32" i="37"/>
  <c r="AJ16" i="19"/>
  <c r="AJ12" i="2"/>
  <c r="AA14" i="2"/>
  <c r="AC25" i="37"/>
  <c r="AC21" i="38"/>
  <c r="AI19" i="19"/>
  <c r="AA14" i="4"/>
  <c r="AC53" i="37"/>
  <c r="AC33" i="37"/>
  <c r="AC18" i="38"/>
  <c r="AA13" i="4"/>
  <c r="AA12" i="2"/>
  <c r="AA15" i="2"/>
  <c r="AC52" i="37"/>
  <c r="AC30" i="37"/>
  <c r="AA13" i="2"/>
  <c r="AC28" i="37"/>
  <c r="V55" i="37"/>
  <c r="AC51" i="37"/>
  <c r="AL11" i="4"/>
  <c r="AN11" i="4"/>
  <c r="AA12" i="4"/>
  <c r="AC34" i="37"/>
  <c r="AC27" i="37"/>
  <c r="AA17" i="2"/>
  <c r="AC54" i="37"/>
  <c r="AA16" i="2"/>
  <c r="T16" i="4"/>
  <c r="AA15" i="4"/>
  <c r="V23" i="38"/>
  <c r="AC35" i="37"/>
  <c r="AD17" i="34"/>
  <c r="AD74" i="34" s="1"/>
  <c r="AF11" i="4"/>
  <c r="V31" i="37"/>
  <c r="V36" i="37"/>
  <c r="AG11" i="4"/>
  <c r="AE27" i="34"/>
  <c r="AE18" i="34"/>
  <c r="AA11" i="4"/>
  <c r="T18" i="2"/>
  <c r="AI18" i="19"/>
  <c r="AI15" i="19" s="1"/>
  <c r="AC23" i="38" l="1"/>
  <c r="AC55" i="37"/>
  <c r="AE51" i="37" s="1"/>
  <c r="AM51" i="37" s="1"/>
  <c r="AK51" i="37" s="1"/>
  <c r="AC31" i="37"/>
  <c r="AE25" i="37" s="1"/>
  <c r="AM25" i="37" s="1"/>
  <c r="AK25" i="37" s="1"/>
  <c r="AA18" i="2"/>
  <c r="AC12" i="2" s="1"/>
  <c r="AL12" i="2" s="1"/>
  <c r="AM12" i="2" s="1"/>
  <c r="AE17" i="34"/>
  <c r="AE74" i="34" s="1"/>
  <c r="AC36" i="37"/>
  <c r="AE32" i="37" s="1"/>
  <c r="AM32" i="37" s="1"/>
  <c r="AK32" i="37" s="1"/>
  <c r="AD16" i="38"/>
  <c r="AM16" i="38" s="1"/>
  <c r="AA16" i="4"/>
  <c r="AC11" i="4" s="1"/>
  <c r="AO11" i="4" s="1"/>
  <c r="AK11" i="4" s="1"/>
  <c r="AI11" i="4"/>
  <c r="AN16" i="38" l="1"/>
  <c r="AL16" i="38"/>
  <c r="AK16" i="38" l="1"/>
</calcChain>
</file>

<file path=xl/sharedStrings.xml><?xml version="1.0" encoding="utf-8"?>
<sst xmlns="http://schemas.openxmlformats.org/spreadsheetml/2006/main" count="1744" uniqueCount="802">
  <si>
    <t>(Ban hành kèm theo Thông tư liên tịch số 01/2015/TTLT-BNV-BTC ngày 14/4/2015 của Bộ Nội vụ và Bộ Tài chính)</t>
  </si>
  <si>
    <t>BỘ, NGÀNH HOẶC TỈNH, THÀNH PHỐ TRỰC THUỘC TRUNG ƯƠNG:</t>
  </si>
  <si>
    <t>Từ ngày .... tháng .... năm .... đến ngày .... tháng .... năm ....</t>
  </si>
  <si>
    <t>TT</t>
  </si>
  <si>
    <t>Họ và tên</t>
  </si>
  <si>
    <t>Ngày tháng năm sinh</t>
  </si>
  <si>
    <t>Trình độ đào tạo</t>
  </si>
  <si>
    <t>Chức danh chuyên môn đang đảm nhiệm</t>
  </si>
  <si>
    <t>Tiền lương theo ngạch, bậc, chức danh, chức vụ hiện hưởng</t>
  </si>
  <si>
    <t>Phụ cấp chức vụ (nếu có)</t>
  </si>
  <si>
    <t>Phụ cấp thâm niên nghề (nếu có)</t>
  </si>
  <si>
    <t>Phụ cấp thâm niên vượt khung (nếu có)</t>
  </si>
  <si>
    <t>Hệ số chênh lệch bảo lưu (nếu có)</t>
  </si>
  <si>
    <t>Lương ngạch, bậc trước liền kề</t>
  </si>
  <si>
    <t>Số năm đóng BHXH theo sổ BHXH</t>
  </si>
  <si>
    <t>Thời điểm tinh giản biên chế</t>
  </si>
  <si>
    <t>Tuổi khi giải quyết tinh giản biên chế</t>
  </si>
  <si>
    <t>Lý do tinh giản</t>
  </si>
  <si>
    <t>Hệ số lương</t>
  </si>
  <si>
    <t>Thời điểm hưởng</t>
  </si>
  <si>
    <t>Hệ số</t>
  </si>
  <si>
    <t>Mức phụ cấp</t>
  </si>
  <si>
    <t>Tổng số</t>
  </si>
  <si>
    <t>Số năm làm công việc nặng nhọc, độc hại hoặc có phụ cấp khu vực hệ số 0,7 trở lên</t>
  </si>
  <si>
    <t>Tổng cộng</t>
  </si>
  <si>
    <t>Trợ cấp tính cho thời gian nghỉ hưu trước tuổi</t>
  </si>
  <si>
    <t>Trợ cấp do có đủ 20 năm đóng BHXH</t>
  </si>
  <si>
    <t>Trợ cấp do có trên 20 năm đóng BHXH</t>
  </si>
  <si>
    <t>A</t>
  </si>
  <si>
    <t>I.</t>
  </si>
  <si>
    <t>Khối hành chính</t>
  </si>
  <si>
    <t>…</t>
  </si>
  <si>
    <t>II.</t>
  </si>
  <si>
    <t>Khối sự nghiệp</t>
  </si>
  <si>
    <t>III.</t>
  </si>
  <si>
    <t>Khối doanh nghiệp</t>
  </si>
  <si>
    <t>IV.</t>
  </si>
  <si>
    <t>Các tổ chức hội</t>
  </si>
  <si>
    <t>TỔNG CỘNG</t>
  </si>
  <si>
    <t>Nơi nhận:</t>
  </si>
  <si>
    <t>- Bộ Nội vụ để thẩm tra;</t>
  </si>
  <si>
    <t>- Bộ Tài chính, để kiểm tra, tạm cấp kinh phí.</t>
  </si>
  <si>
    <t>Ghi chú:</t>
  </si>
  <si>
    <t>- Cột 14, 15 đề nghị liệt kê thêm hệ số lương và thời điểm hưởng của năm năm cuối trước khi tinh giản</t>
  </si>
  <si>
    <t>- Cột 16 = Trung bình cộng của 60 tháng tiền lương thực lĩnh trước khi tinh giản.</t>
  </si>
  <si>
    <t>- Cột 17: tính cả số tháng lẻ</t>
  </si>
  <si>
    <t>- Cột 21 = cột 22 + cột 23 + cột 24</t>
  </si>
  <si>
    <t>- Cột 22 = cột 16 x số tháng trợ cấp (tính theo số tháng, năm về hưu trước tuổi)</t>
  </si>
  <si>
    <t>- Cột 23 = cột 16 x 5 tháng</t>
  </si>
  <si>
    <t>- Cột 24 = (cột 17-20) x 1/2 x cột 16</t>
  </si>
  <si>
    <t>BIỂU SỐ 1b</t>
  </si>
  <si>
    <t>DANH SÁCH VÀ KINH PHÍ CHI TRẢ CHO NHỮNG NGƯỜI CHUYỂN SANG TỔ CHỨC KHÔNG HƯỞNG KINH PHÍ THƯỜNG XUYÊN TỪ NGÂN SÁCH ĐỢT ... NĂM ...</t>
  </si>
  <si>
    <r>
      <t>Từ ngày .... tháng .... năm .... đến ngày .... tháng .... năm ...</t>
    </r>
    <r>
      <rPr>
        <sz val="10"/>
        <color indexed="8"/>
        <rFont val="Arial"/>
        <family val="2"/>
      </rPr>
      <t>.</t>
    </r>
  </si>
  <si>
    <t>Tiền lương tháng hiện hưởng (1000 đồng)</t>
  </si>
  <si>
    <t>- Cột 17 = Trung bình cộng của 60 tháng tiền lương thực lĩnh trước khi tinh giản.</t>
  </si>
  <si>
    <t>- Cột 18: tính cả số tháng lẻ</t>
  </si>
  <si>
    <t>- Cột 22 = cột 16 x 3 tháng + 1/2 x cột 17 x cột 18</t>
  </si>
  <si>
    <t>Trợ cấp tìm việc</t>
  </si>
  <si>
    <t>Trợ cấp do đóng BHXH</t>
  </si>
  <si>
    <t>Cột 22 = cột 23 + cột 24</t>
  </si>
  <si>
    <t>- Cột 16 = (cột 4 + cột 6, 12 (nếu có)) x tiền lương tối thiểu chung + cột 8, cột 10 (nếu có)</t>
  </si>
  <si>
    <t>Cột 23 = cột 16 x 3 tháng</t>
  </si>
  <si>
    <t>Cột 24 = 1,5 x cột 18 x cột 17</t>
  </si>
  <si>
    <t>BIỂU SỐ 1d</t>
  </si>
  <si>
    <t>DANH SÁCH VÀ KINH PHÍ CHI TRẢ CHO NHỮNG NGƯỜI THÔI VIỆC SAU KHI ĐI HỌC ĐỢT .... NĂM ...</t>
  </si>
  <si>
    <t>Tiền lương được hưởng trong thời gian học nghề</t>
  </si>
  <si>
    <t>Chi phí học nghề</t>
  </si>
  <si>
    <t>Tiền đóng cho cơ quan BHXH trong thời gian học nghề</t>
  </si>
  <si>
    <t>- Cột 16 = (cột 4 + cột 6, 12 (nếu có)) x tiền lương tối thiểu + cột 8, 10 (nếu có)</t>
  </si>
  <si>
    <t>- Cột 23: chi phí cho khóa học nghề</t>
  </si>
  <si>
    <t>- Cột 17 = Trung bình cộng của 60 tháng lương tháng thực lĩnh trước khi tinh giản.</t>
  </si>
  <si>
    <t>- Cột 24 = cột 16 x 3 tháng - Cột 25 = 1/2 x cột 18 x cột 17</t>
  </si>
  <si>
    <t>- Cột 21 = cột 22 + cột 23 + cột 24 + cột 25 + cột 26</t>
  </si>
  <si>
    <t>- Cột 22 = cột 16 x số tháng học nghề</t>
  </si>
  <si>
    <t>- Cột 14, 15 đề nghị liệt kê thêm hệ số lương và thời điểm hưởng của năm năm cuối</t>
  </si>
  <si>
    <t>Tiền lương tháng để tính trợ cấp nghỉ hưu trước tuổi, do đóng bảo hiểm xã hội (1000 đồng)</t>
  </si>
  <si>
    <t>Được hưởng chính sách</t>
  </si>
  <si>
    <t>Tổng kinh phí để thực hiện chế độ</t>
  </si>
  <si>
    <t>Nghỉ hưu trước tuổi</t>
  </si>
  <si>
    <t>Chuyển sang làm việc ở các cơ sở không sử dụng kinh phí thường xuyên từ NSNN</t>
  </si>
  <si>
    <t>Thôi việc ngay</t>
  </si>
  <si>
    <t>Thôi việc sau khi đi học nghề</t>
  </si>
  <si>
    <t>- Cột 14, 15 đề nghị liệt kê thêm hệ số lương và thời điểm hưởng của năm năm cuối trước khi tinh giản.</t>
  </si>
  <si>
    <t>Diễn biến lương</t>
  </si>
  <si>
    <t>Từ</t>
  </si>
  <si>
    <t>Đến</t>
  </si>
  <si>
    <t>Số tháng</t>
  </si>
  <si>
    <t>PCCV</t>
  </si>
  <si>
    <t>LTT</t>
  </si>
  <si>
    <t>Tổng lương</t>
  </si>
  <si>
    <t>Tổng hệ số</t>
  </si>
  <si>
    <t>VK</t>
  </si>
  <si>
    <t>TNN</t>
  </si>
  <si>
    <t>Thời gian về hưu trước tuổi</t>
  </si>
  <si>
    <t>Trợ cấp 03 tháng tiền lương hiện hưởng</t>
  </si>
  <si>
    <t>Kinh phí để thực hiện tinh giản biên chế (đồng)</t>
  </si>
  <si>
    <t>Tổng kinh phí để thực hiện (đồng)</t>
  </si>
  <si>
    <t>Tiền lương tháng (nếu có) để tính trợ cấp (đồng)</t>
  </si>
  <si>
    <t>Tiền lương tháng hiện hưởng (đồng)</t>
  </si>
  <si>
    <t>Tiền lương tháng để tính trợ cấp do đóng BHXH (đồng)</t>
  </si>
  <si>
    <t>Nguyễn Văn Q</t>
  </si>
  <si>
    <t>Thời gian học nghề (tháng)</t>
  </si>
  <si>
    <t>Trợ cấp do đóng BHXH (1/2 tháng lương/1năm đóng BH)</t>
  </si>
  <si>
    <t>08n9t</t>
  </si>
  <si>
    <t>BIỂU SỐ 3</t>
  </si>
  <si>
    <t>BÁO CÁO KẾT QUẢ THỰC HIỆN CHÍNH SÁCH TINH GIẢN BIÊN CHẾ NĂM ...</t>
  </si>
  <si>
    <t>Tên cơ quan, đơn vị trực thuộc</t>
  </si>
  <si>
    <t>Số người được hưởng chính sách tinh giản biên chế năm ...</t>
  </si>
  <si>
    <t>Kinh phí chi cho tinh giản biên chế năm .... (1000 đồng)</t>
  </si>
  <si>
    <t>Chuyển sang các cơ sở</t>
  </si>
  <si>
    <t>Đi học để thôi việc</t>
  </si>
  <si>
    <t>Kinh phí chi cho người về hưu trước tuổi</t>
  </si>
  <si>
    <t>Kinh phí chi cho những người chuyển sang cơ sở không sử dụng kinh phí thường xuyên từ NSNN</t>
  </si>
  <si>
    <t>Kinh phí chi cho những người thôi việc ngay</t>
  </si>
  <si>
    <t>Kinh phí chi cho những người thôi việc sau khi đi học nghề</t>
  </si>
  <si>
    <t>- Bộ Nội vụ,</t>
  </si>
  <si>
    <t>- Bộ Tài chính để tổng hợp kết quả và quyết toán kinh phí tạm cấp.</t>
  </si>
  <si>
    <t>- Cột 1 = Cột 2 + cột 3 + cột 4 + cột 5;</t>
  </si>
  <si>
    <t>- Cột 6 = cột 7 + cột 8 + cột 9 + cột 10</t>
  </si>
  <si>
    <t>- Báo cáo theo định kỳ 31/12 các năm 2015, 2016, 2017, 2018, 2019, 2020, 2021.</t>
  </si>
  <si>
    <t>BIỂU SỐ 4</t>
  </si>
  <si>
    <t>TỔNG HỢP KẾT QUẢ GIẢI QUYẾT CHẾ ĐỘ NGHỈ HƯU ĐÚNG TUỔI VÀ THÔI VIỆC THEO QUY ĐỊNH CỦA PHÁP LUẬT NĂM ....</t>
  </si>
  <si>
    <t>Tên cơ quan, tổ chức</t>
  </si>
  <si>
    <t>Số người nghỉ hưu đúng tuổi và thôi việc theo quy định của pháp luật</t>
  </si>
  <si>
    <t>Số người nghỉ hưu đúng tuổi</t>
  </si>
  <si>
    <t>Số người thôi việc theo quy định của pháp luật</t>
  </si>
  <si>
    <t>...</t>
  </si>
  <si>
    <t>Tổng cộng:</t>
  </si>
  <si>
    <t>- Cột 1 = cột 2 + cột 3.</t>
  </si>
  <si>
    <t>BIỂU SỐ 5</t>
  </si>
  <si>
    <t>TỔNG HỢP CHUNG DANH SÁCH TINH GIẢN BIÊN CHẾ VÀ QUYẾT TOÁN KINH PHÍ THỰC HIỆN ĐỢT ... NĂM ...</t>
  </si>
  <si>
    <t>CHỦ TỊCH</t>
  </si>
  <si>
    <t>Đoàn Văn Việt</t>
  </si>
  <si>
    <t>Lâm Đồng, ngày     tháng    năm 201</t>
  </si>
  <si>
    <t>UỶ BAN NHÂN DÂN</t>
  </si>
  <si>
    <t>TỈNH LÂM ĐỒNG</t>
  </si>
  <si>
    <t xml:space="preserve"> - Bộ Nội vụ;</t>
  </si>
  <si>
    <t xml:space="preserve"> - Bộ Tài chính.</t>
  </si>
  <si>
    <t>Năm</t>
  </si>
  <si>
    <t>Tháng</t>
  </si>
  <si>
    <t>Ngày</t>
  </si>
  <si>
    <t>I</t>
  </si>
  <si>
    <t>Huyện Đạ Tẻh</t>
  </si>
  <si>
    <t>Nguyễn Quang Huy</t>
  </si>
  <si>
    <t>25n7t</t>
  </si>
  <si>
    <t>ĐH</t>
  </si>
  <si>
    <t>Trương Chí Dũng</t>
  </si>
  <si>
    <t>chưa đạt trình độ theo tiêu chuẩn</t>
  </si>
  <si>
    <t>Nguyễn Xuân Trường</t>
  </si>
  <si>
    <t>Tuổi về hưu</t>
  </si>
  <si>
    <t>Đỗ Sơn Hùng</t>
  </si>
  <si>
    <t>TC</t>
  </si>
  <si>
    <t>Phạm Sang</t>
  </si>
  <si>
    <t xml:space="preserve">công nhân </t>
  </si>
  <si>
    <t>37n1t</t>
  </si>
  <si>
    <t>II</t>
  </si>
  <si>
    <t>Vương Tất Đức</t>
  </si>
  <si>
    <t>Hồ Thị Ngọc Anh</t>
  </si>
  <si>
    <t>x</t>
  </si>
  <si>
    <t>32n9t</t>
  </si>
  <si>
    <t>30n7t</t>
  </si>
  <si>
    <t>SC</t>
  </si>
  <si>
    <t>Hưởng chế độ hưu trí và không trừ tỷ lệ lương hưu do nghỉ trước tuổi</t>
  </si>
  <si>
    <t>Nguyễn Cảnh Toàn</t>
  </si>
  <si>
    <t>37n2t</t>
  </si>
  <si>
    <t>Đinh Xuân Thiện</t>
  </si>
  <si>
    <t>20n</t>
  </si>
  <si>
    <t>Huỳnh Công Hùng</t>
  </si>
  <si>
    <t>Nguyễn Sỹ</t>
  </si>
  <si>
    <t>THPT</t>
  </si>
  <si>
    <t>26n4t</t>
  </si>
  <si>
    <t>Lê Hòa</t>
  </si>
  <si>
    <t>38n</t>
  </si>
  <si>
    <t>\</t>
  </si>
  <si>
    <t>Lê Thị Đoan Chinh</t>
  </si>
  <si>
    <t xml:space="preserve">Phụ cấp chức vụ 
</t>
  </si>
  <si>
    <t xml:space="preserve">Phụ cấp thâm niên nghề </t>
  </si>
  <si>
    <t xml:space="preserve">Phụ cấp thâm niên vượt khung </t>
  </si>
  <si>
    <t xml:space="preserve">Hệ số chênh lệch bảo lưu </t>
  </si>
  <si>
    <t xml:space="preserve">Phụ cấp chức vụ </t>
  </si>
  <si>
    <t>25n4t</t>
  </si>
  <si>
    <t xml:space="preserve">Trợ cấp do đóng BHXH </t>
  </si>
  <si>
    <t>Sơ cấp</t>
  </si>
  <si>
    <t>Phạm Thị Nga</t>
  </si>
  <si>
    <t>18n6t</t>
  </si>
  <si>
    <t>Lê Liên</t>
  </si>
  <si>
    <t>26n6t</t>
  </si>
  <si>
    <t>Nguyễn Quang Đạt</t>
  </si>
  <si>
    <t>36n10t</t>
  </si>
  <si>
    <t>Ngày để tính về hưu</t>
  </si>
  <si>
    <t>Lơ Mu Ha Than</t>
  </si>
  <si>
    <t>Cil Ha Chang</t>
  </si>
  <si>
    <t>20n11t</t>
  </si>
  <si>
    <t>27n11t</t>
  </si>
  <si>
    <t>26n11t</t>
  </si>
  <si>
    <t>Cil Ha Tang</t>
  </si>
  <si>
    <t>27n</t>
  </si>
  <si>
    <t>Kơ Să Ha Klas</t>
  </si>
  <si>
    <t>26n8t</t>
  </si>
  <si>
    <t>Yuk Rơ La Y Kanh</t>
  </si>
  <si>
    <t>CĐTH</t>
  </si>
  <si>
    <t>THSP</t>
  </si>
  <si>
    <t>10n8t</t>
  </si>
  <si>
    <t>5/12</t>
  </si>
  <si>
    <t>Liêng Hót Ha Vinh</t>
  </si>
  <si>
    <t>Lê Trọng Nhạc</t>
  </si>
  <si>
    <t>38n11t</t>
  </si>
  <si>
    <t>Phó Tổ trưởng Tổ Hội nhập KTQT - Sở Công thương</t>
  </si>
  <si>
    <t>Công chức văn hóa-xã hội xã Quảng Trị- Đạ Tẻh</t>
  </si>
  <si>
    <t>Phó CT HĐND xã Quốc Oai - Đạ Tẻh</t>
  </si>
  <si>
    <t>CC Tư pháp - Hộ tịch xã Ninh Gia - Đức Trọng</t>
  </si>
  <si>
    <t>Phó Trưởng phòng Công chứng số 3 - Sở Tư pháp</t>
  </si>
  <si>
    <t>Phó Giám đốc Trung tâm QL&amp;KT CTCC - Cát Tiên</t>
  </si>
  <si>
    <t>Kế toán Trường TH Suối Thông - Đơn Dương</t>
  </si>
  <si>
    <t>Nhân viên Trung tâm VH TT - Đức Trọng</t>
  </si>
  <si>
    <t>Nhân viên Đài PTTH - Đức Trọng</t>
  </si>
  <si>
    <t>viên chức Trung tâm VH TT - Đức Trọng</t>
  </si>
  <si>
    <t>giáo viên trường TH Đạ Tông - Đam Rông</t>
  </si>
  <si>
    <t>CC Văn hóa - XH xã Đa Long - Đam Rông</t>
  </si>
  <si>
    <t>20n7t</t>
  </si>
  <si>
    <t>28n5t</t>
  </si>
  <si>
    <t>22n10t</t>
  </si>
  <si>
    <t>35n6t</t>
  </si>
  <si>
    <t>33n9t</t>
  </si>
  <si>
    <t>Phó Trưởng phòng Tổng hợp Ban Thi đua KT-Sở Nội vụ</t>
  </si>
  <si>
    <t>CC Tư pháp - Hộ tịch xã Tân Hội - Đức Trọng</t>
  </si>
  <si>
    <t>Trưởng CA xã Hiệp Thạnh - Đức Trọng</t>
  </si>
  <si>
    <t>CT HĐND xã RôMen - Đam Rông</t>
  </si>
  <si>
    <t>Công chức Ban QL Khu CN TT - Sở Thông tin &amp;TT</t>
  </si>
  <si>
    <t>Nhân viên Đải PTTH - Đức Trọng</t>
  </si>
  <si>
    <t>Giáo viên Trường TH Suối Thông - Đơn Dương</t>
  </si>
  <si>
    <t>01/01/2010 đến 30/04/2011</t>
  </si>
  <si>
    <t>UBND TỈNH LÂM ĐỒNG</t>
  </si>
  <si>
    <t>SỞ NỘI VỤ</t>
  </si>
  <si>
    <t>DANH SÁCH VÀ KINH PHÍ CHI TRẢ CHO NHỮNG NGƯỜI NGHỈ HƯU TRƯỚC TUỔI NĂM 2015</t>
  </si>
  <si>
    <t>Từ ngày 01 tháng 09 năm 2015 đến ngày 01 tháng 12 năm 2015</t>
  </si>
  <si>
    <t>DANH SÁCH VÀ KINH PHÍ CHI TRẢ CHO NHỮNG NGƯỜI THÔI VIỆC NGAY NĂM 2015</t>
  </si>
  <si>
    <t>Biểu 1a</t>
  </si>
  <si>
    <t>Biểu 1c</t>
  </si>
  <si>
    <t>năm 2013, 2014 hoàn thành nhiệm vụ nhưng còn hạn chế về năng lực</t>
  </si>
  <si>
    <t>năm 2013 hoàn thành nhiệm vụ, 2014 không hoàn thành nhiệm vụ</t>
  </si>
  <si>
    <t>lái xe</t>
  </si>
  <si>
    <t>Tiền lương tháng để tính trợ cấp nghỉ hưu trước tuổi, do đóng bảo hiểm xã hội (đồng)</t>
  </si>
  <si>
    <t>56t1th</t>
  </si>
  <si>
    <t>52t8th</t>
  </si>
  <si>
    <t>50t6th</t>
  </si>
  <si>
    <t>55t3th</t>
  </si>
  <si>
    <t>55t8th</t>
  </si>
  <si>
    <t>58t0th</t>
  </si>
  <si>
    <t>45t1th</t>
  </si>
  <si>
    <t>51t11th</t>
  </si>
  <si>
    <t>54t10th</t>
  </si>
  <si>
    <t>47t10th</t>
  </si>
  <si>
    <t>48t10th</t>
  </si>
  <si>
    <t>55t4th</t>
  </si>
  <si>
    <t>57t10th</t>
  </si>
  <si>
    <t>52t10th</t>
  </si>
  <si>
    <t>55t0th</t>
  </si>
  <si>
    <t>58t9th</t>
  </si>
  <si>
    <t>57t0th</t>
  </si>
  <si>
    <t>58t4th</t>
  </si>
  <si>
    <t>51t4th</t>
  </si>
  <si>
    <t>50t5th</t>
  </si>
  <si>
    <t>46t4th</t>
  </si>
  <si>
    <t>39t10th</t>
  </si>
  <si>
    <t>4,65
4,32</t>
  </si>
  <si>
    <t>01/06/2012
01/06/2009</t>
  </si>
  <si>
    <t>3,46
3,26
3,06</t>
  </si>
  <si>
    <t>01/12/2012
01/12/2010
01/01/2010</t>
  </si>
  <si>
    <t>5%
6%
7%
8%</t>
  </si>
  <si>
    <t>0,2
0,5</t>
  </si>
  <si>
    <t>01/10/2004
01/01/2011</t>
  </si>
  <si>
    <t>01/01/2011
01/01/2012
01/01/2013
01/01/2014
01/07/2015</t>
  </si>
  <si>
    <t>5%
6%
7%
8%
9%</t>
  </si>
  <si>
    <t>01/06/2012
01/06/2013
01/06/2014
01/06/2015</t>
  </si>
  <si>
    <t>0,2
đến
0,2
đến
0,2
đến</t>
  </si>
  <si>
    <t>01/08/2009
31/05/2010
01/08/2010
31/05/2011
01/08/2011
31/05/2012</t>
  </si>
  <si>
    <t>5%
6%
7%
8%
9%
10%</t>
  </si>
  <si>
    <t>01/01/2010
01/01/2011
01/01/2012
01/01/2013
01/01/2014
01/01/2015</t>
  </si>
  <si>
    <t>10%
11%
12%
13%
14%
15%</t>
  </si>
  <si>
    <t>01/01/2010
01/01/2011
01/01/2012
01/01/2013
01/01/2014
01/07/2015</t>
  </si>
  <si>
    <t>23%
24%
25%
26%
27%</t>
  </si>
  <si>
    <t>01/05/2011
01/05/2012
01/05/2013
01/05/2014
01/05/2015</t>
  </si>
  <si>
    <t>3,86
3,66</t>
  </si>
  <si>
    <t>3,86
3,66
3,46</t>
  </si>
  <si>
    <t>01/03/2013
01/03/2011
01/03/2009</t>
  </si>
  <si>
    <t>22%
23%
24%
25%
26%</t>
  </si>
  <si>
    <t>01/12/2011
01/12/2008</t>
  </si>
  <si>
    <t>01/01/2013
01/01/2011
01/01/2010</t>
  </si>
  <si>
    <t>5,08
4,74</t>
  </si>
  <si>
    <t>01/01/2013
01/01/2010</t>
  </si>
  <si>
    <t>1,89
1,71
1,18</t>
  </si>
  <si>
    <t>01/09/2012
01/05/2011
01/01/2010</t>
  </si>
  <si>
    <t>1,89
1,71</t>
  </si>
  <si>
    <t>01/07/2011
01/05/2009</t>
  </si>
  <si>
    <t>3,45
3,27</t>
  </si>
  <si>
    <t>01/06/2011
01/06/2009</t>
  </si>
  <si>
    <t>14%
15%
16%
17%
18%</t>
  </si>
  <si>
    <t>Nguyễn Thị Tuyết Sương</t>
  </si>
  <si>
    <t>01/09/2010
01/09/2011
01/09/2012
01/09/2013
01/09/2014</t>
  </si>
  <si>
    <t xml:space="preserve">5%
6%
7%
8%
9% </t>
  </si>
  <si>
    <t>33n6t</t>
  </si>
  <si>
    <t>Trương Văn Thủy</t>
  </si>
  <si>
    <t>34n2t</t>
  </si>
  <si>
    <t>Phạm Kim Thu</t>
  </si>
  <si>
    <t>Văn thư-Ban Dân vận Tỉnh ủy</t>
  </si>
  <si>
    <t>BT UBND xã Tư Nghĩa-Cát Tiên</t>
  </si>
  <si>
    <t>Nhân viên văn thư-UBMTTQ huyện Cát Tiên</t>
  </si>
  <si>
    <t>3,66
3,46
3,26</t>
  </si>
  <si>
    <t>24n9t</t>
  </si>
  <si>
    <t>Nguyễn Huy Quân</t>
  </si>
  <si>
    <t>CB UBMTTQ huyện Cát Tiên</t>
  </si>
  <si>
    <t>35n7t</t>
  </si>
  <si>
    <t>01/01/2010
31/10/2013
01/11/2013
30/04/2014</t>
  </si>
  <si>
    <t>0,3 đến
0,2
đến</t>
  </si>
  <si>
    <t>Võ Đệ</t>
  </si>
  <si>
    <t>Lái xe-Ban Tổ chức Tỉnh ủy</t>
  </si>
  <si>
    <t xml:space="preserve">17%
18%
19%
20%
21%
22% </t>
  </si>
  <si>
    <t>40n5t</t>
  </si>
  <si>
    <t>năm học 2013-2014 hoàn thành nhiệm vụ, 2014-2015 năm không hoàn thành nhiệm vụ</t>
  </si>
  <si>
    <t>Cil Múp Ha Nguyên</t>
  </si>
  <si>
    <t>CT HND xã Đạ M'rông - Đam Rông</t>
  </si>
  <si>
    <t>09n11t</t>
  </si>
  <si>
    <t>CT HND xã Đạ Tông - Đam Rông</t>
  </si>
  <si>
    <t>năm học 2013-2014 hoàn thành nhiệm vụ, 2014-2015 không hoàn thành nhiệm vụ</t>
  </si>
  <si>
    <t>46t1th</t>
  </si>
  <si>
    <t>- Bộ Tài chính để kiểm tra, tạm cấp kinh phí.</t>
  </si>
  <si>
    <t>Biểu 2</t>
  </si>
  <si>
    <t>ỦY BAN NHÂN DÂN</t>
  </si>
  <si>
    <t>Lê Tửu</t>
  </si>
  <si>
    <t>Phó Trưởng Ban Dân vận-Huyện ủy Đức Trọng</t>
  </si>
  <si>
    <t>01/06/2010
01/06/2011
01/06/2012
01/06/2013
01/06/2014
01/06/2015</t>
  </si>
  <si>
    <t>5%
6%
7%
8%
9%
10/%</t>
  </si>
  <si>
    <t>Phan Hữu Hiền</t>
  </si>
  <si>
    <t>Cán bộ Trung tâm Bồi dưỡng chính trị huyện Đức Trọng</t>
  </si>
  <si>
    <t>12%
13%
14%
15%
16%
17%</t>
  </si>
  <si>
    <t>37n4t</t>
  </si>
  <si>
    <t>Trần Văn Quang</t>
  </si>
  <si>
    <t>Cán bộ UBMTTQ huyện Đức Trọng</t>
  </si>
  <si>
    <t>01/11/2010
01/11/2011
01/11/2012
01/11/2013
01/11/2014
01/11/2015</t>
  </si>
  <si>
    <t>6%
7%
8%
9%
10/%
11%</t>
  </si>
  <si>
    <t>27n1t</t>
  </si>
  <si>
    <t>Hồ Thị Hồng</t>
  </si>
  <si>
    <t>Chuyên viên Hội Liên hiệp Phụ nữ huyện Đức Trọng</t>
  </si>
  <si>
    <t>01/12/2009
01/12/2010
01/12/2011
01/12/2012
01/12/2013
01/12/2014</t>
  </si>
  <si>
    <t>31n</t>
  </si>
  <si>
    <t>Lê Thị Tuyết Lan</t>
  </si>
  <si>
    <t>Cán bộ Văn thư - Lưu trữ Ban Tuyên giáo</t>
  </si>
  <si>
    <t>01/04/2010
01/04/2011
01/04/2012
01/04/2013
01/04/2014
01/04/2015</t>
  </si>
  <si>
    <t>18%
19%
20%
21%
22%
23%</t>
  </si>
  <si>
    <t>33n</t>
  </si>
  <si>
    <t>Nguyễn Đắc Hải</t>
  </si>
  <si>
    <t>Phó Chánh VP Hội Liên hiệp Phụ nữ tỉnh Lâm Đồng</t>
  </si>
  <si>
    <t>01/10/2010
01/10/2011
01/10/2012
01/10/2013
01/10/2014</t>
  </si>
  <si>
    <t>18%
19%
20%
21%
22%</t>
  </si>
  <si>
    <t>Dôi dư do sắp xếp lại tổ chức</t>
  </si>
  <si>
    <t>Chưa đạt chuẩn về chuyên môn, không sếp xếp bố trí được công việc phù hợp</t>
  </si>
  <si>
    <t>Sức khỏe không đảm bảo, bị gãy 2 chân không tự đi lại được.</t>
  </si>
  <si>
    <t>Chưa có bằng chuyên môn, không bố trí được công việc phù hợp</t>
  </si>
  <si>
    <t>B</t>
  </si>
  <si>
    <t>KHỐI ĐẢNG, ĐOÀN THỂ</t>
  </si>
  <si>
    <t>KHỐI NHÀ NƯỚC</t>
  </si>
  <si>
    <t>15 HỒ SƠ</t>
  </si>
  <si>
    <t>6 hồ sơ</t>
  </si>
  <si>
    <t>9 hồ sơ</t>
  </si>
  <si>
    <t>11 HỒ SƠ</t>
  </si>
  <si>
    <t>57t6th</t>
  </si>
  <si>
    <t>55t1th</t>
  </si>
  <si>
    <t>55t11th</t>
  </si>
  <si>
    <t>56t3th</t>
  </si>
  <si>
    <t>52t11th</t>
  </si>
  <si>
    <t>51t3th</t>
  </si>
  <si>
    <t>26 HỒ SƠ</t>
  </si>
  <si>
    <t>2 hồ sơ</t>
  </si>
  <si>
    <t>8 hồ sơ</t>
  </si>
  <si>
    <t>3,06
2,86
2,85</t>
  </si>
  <si>
    <t>01/07/2013
01/07/2011
01/01/2010</t>
  </si>
  <si>
    <t>chưa đạt trình độ theo tiêu chuẩn theo quy định tại Điểm b, c Khoản 1 Điều 2 Thông tư 06/2012/TT-BNV</t>
  </si>
  <si>
    <t>chưa đạt trình độ theo tiêu chuẩn theo quy định tại Khoản 4 Điều 7 Quyết định 04/2004/QĐ-BNV</t>
  </si>
  <si>
    <t>chưa đạt trình độ theo tiêu chuẩn theo quy định tại Khoản 4 Điều 7 Thông tư 11/2014/TT-BNV</t>
  </si>
  <si>
    <t>chưa đạt trình độ theo tiêu chuẩn theo quy định tại Khoản 2 Điều 4 và Điều 8 Thông tư 163/2013/TTLT-BTC-BNV</t>
  </si>
  <si>
    <t>chưa đạt trình độ theo tiêu chuẩn theo quy định tại Điểm a Khoản 3 Điều 6 Thông tư 13/2014/TTLT-BVHTTDL-BNV</t>
  </si>
  <si>
    <t>chưa đạt trình độ theo tiêu chuẩn theo quy định tại Khoản 4 Điều 9 Thông tư 11/2014/TT-BNV</t>
  </si>
  <si>
    <t>CỘNG HÒA XÃ HỘI CHỦ NGHĨA VIỆT NAM</t>
  </si>
  <si>
    <t>Độc lập - Tự do - Hạnh phúc</t>
  </si>
  <si>
    <t>(Kèm theo Tờ trình số              /TTr-UBND ngày     tháng      năm 2015 của UBND tỉnh Lâm Đồng)</t>
  </si>
  <si>
    <t>không đảm bảo về lịch sử chính trị, nhưng không có vị trí việc làm phù hợp để bố trí</t>
  </si>
  <si>
    <t>năm 2013, 2014 được đánh giá hoàn thành nhiệm vụ nhưng còn hạn chế về năng lực trong công tác, không bố trí được công việc khác phù hợp hơn</t>
  </si>
  <si>
    <t>năm 2013, 2014 được đánh giá hoàn thành nhiệm vụ nhưng còn hạn chế về năng lực trong công tác do lớn tuổi.</t>
  </si>
  <si>
    <t>Đức Trọng</t>
  </si>
  <si>
    <t>9%
10%
11%
12%
13%</t>
  </si>
  <si>
    <t>22n04t</t>
  </si>
  <si>
    <t>Hưởng chế độ hưu trí và không bị trừ tỷ lệ lương hưu do nghỉ trước tuổi</t>
  </si>
  <si>
    <t>5%
6%</t>
  </si>
  <si>
    <t>7%
8%
9%
10%
11%</t>
  </si>
  <si>
    <t>3,46
3,66</t>
  </si>
  <si>
    <t>17%
18%
19%
20%
21%
22%</t>
  </si>
  <si>
    <t>39n09t</t>
  </si>
  <si>
    <t>8%
9%
10%
11%
12%</t>
  </si>
  <si>
    <t>33n08t</t>
  </si>
  <si>
    <t>Lâm Hà</t>
  </si>
  <si>
    <t>5%
6%
7%</t>
  </si>
  <si>
    <t>Đà Lạt</t>
  </si>
  <si>
    <t>30n09t</t>
  </si>
  <si>
    <t>Đam Rông</t>
  </si>
  <si>
    <t>27n06t</t>
  </si>
  <si>
    <t>12%
13%
14%
15%</t>
  </si>
  <si>
    <t>15%
16%
17%
18%
19%
20%</t>
  </si>
  <si>
    <t>Triệu Thanh Nguyên</t>
  </si>
  <si>
    <t>Cá nhân thôi giữ chức vụ do sáp nhập Công ty PTHT KCN Phú Hội vào Công ty PTHT KCN Lộc Sơn theo Quyết định số 1519/QĐ-UBND ngày 16/7/2019 của UBND tỉnh Lâm Đồng, có đơn xin giải quyết hưu trước tuổi theo Nghị định 108/2014/NĐ-CP được cơ quan, đơn vị trực tiếp quản lý đồng ý.</t>
  </si>
  <si>
    <t>Nguyễn Văn Phú</t>
  </si>
  <si>
    <t>Trần Thị Hương Thơm</t>
  </si>
  <si>
    <t>26%
27%
28%
29%
30%
31%</t>
  </si>
  <si>
    <t>Phạm Thị Thu Thanh</t>
  </si>
  <si>
    <t>Phạm Thị Vui</t>
  </si>
  <si>
    <t>3,66
3,99</t>
  </si>
  <si>
    <t>Nguyễn Thị Xuân</t>
  </si>
  <si>
    <t>01/09/2012
01/09/2015</t>
  </si>
  <si>
    <t>25%
26%
27%
28%
29%
30%</t>
  </si>
  <si>
    <t>Đinh Thị Nguyệt</t>
  </si>
  <si>
    <t>Nguyễn Thị Thắng</t>
  </si>
  <si>
    <t>31n07t</t>
  </si>
  <si>
    <t>Nghiêm Thị Hồng</t>
  </si>
  <si>
    <t>Không hoàn thành nhiệm vụ trong năm trước liền kề tại thời điểm xét tinh giản biên chế (năm học 2018-2019), cá nhân tự nguyện thực hiện tinh giản biên chế và được cơ quan, đơn vị trực tiếp quản lý đồng ý.</t>
  </si>
  <si>
    <t>Nguyễn Thị Bảy</t>
  </si>
  <si>
    <t>Nguyễn Ngọc Tuý</t>
  </si>
  <si>
    <t>Lê Xuân Sơn</t>
  </si>
  <si>
    <t>Phạm Thị Thoan</t>
  </si>
  <si>
    <t>Hà Thị Hương Giang</t>
  </si>
  <si>
    <t>Liêng Jrang K'Phang</t>
  </si>
  <si>
    <t>24%
25%
26%
27%
28%
29%</t>
  </si>
  <si>
    <t>05n06t</t>
  </si>
  <si>
    <t>Lê Ngọc</t>
  </si>
  <si>
    <t>nguyên Chủ tịch UB MTTQVN xã Xuân Thọ – Tp. Đà Lạt</t>
  </si>
  <si>
    <t>12n05t</t>
  </si>
  <si>
    <t>Từ ngày 01 tháng 01 năm 2020 đến ngày 01 tháng 06 năm 2020</t>
  </si>
  <si>
    <t>8%
9%
10%
11%</t>
  </si>
  <si>
    <t>Vương Thị Minh</t>
  </si>
  <si>
    <t>Dôi dư do rà soát, sắp xếp lại tổ chức bộ máy, nhân sự theo quyết định của số 2037/QĐ-UBND ngày 10/10/2018 của UBND tỉnh Lâm Đồng về việc thành lập Ban QLRPH Lâm Hà trên cơ sở hợp nhất Ban QLRPH Lán Tranh và Ban QLRPH Nam Ban và Phương án bố trí, sắp xếp nhân sự ngày 07/01/2019 của BQLRPH Lâm Hà.</t>
  </si>
  <si>
    <t>Võ Văn Thừa</t>
  </si>
  <si>
    <t>Chưa đạt chuẩn theo quy định tại Điểm a Khoản 4 Điều 9 Thông tư số 11/2014/TT-BNV của Bộ Nội vụ quy định chức danh, mã số ngạch và tiêu chuẩn nghiệp vụ chuyên môn các ngạch công chức chuyên ngành hành chính, cá nhân tự nguyện thực hiện tinh giản biên chế và được cơ quan, đơn vị trực tiếp quản lý đồng ý.</t>
  </si>
  <si>
    <t>Dôi dư do rà soát, sắp xếp lại tổ chức bộ máy, nhân sự theo Quyết định số 2616/QĐ-UBND ngày 29/7/2019 của UBND huyện Lâm Hà về việc thành lập trường Kim Đồng trên cơ sở giải thể trường TH Đinh Văn II và trường TH Đinh Văn IV huyện Lâm Hà và Kế hoạch số 173/KH-UBND ngày 08/8/2019 của UBND huyện Lâm Hà về tinh giản biên chế sau khi thành lập trường TH Kim Đồng, trường TH Tân Thanh 1 và trường TH&amp;THCS Cill Cus năm 2019.</t>
  </si>
  <si>
    <t>Cấn Thị Hương</t>
  </si>
  <si>
    <t>Tống Văn Thơm</t>
  </si>
  <si>
    <t>4,06 + 8%</t>
  </si>
  <si>
    <t>Không hoàn thành nhiệm vụ trong năm trước liền kề tại thời điểm xét tinh giản biên chế (năm 2018), cá nhân tự nguyện thực hiện tinh giản biên chế và được cơ quan, đơn vị trực tiếp quản lý đồng ý.</t>
  </si>
  <si>
    <t>Nguyễn Thị Hồng Minh</t>
  </si>
  <si>
    <t>Trần Thị Loan</t>
  </si>
  <si>
    <t>Thiều Thị Kim Liên</t>
  </si>
  <si>
    <t>Cán bộ, công chức, viên chức thôi giữ chức vụ do sắp xếp tổ chức bộ máy theo quyết định của cơ quan có thẩm quyền (Quyết định số 386/QĐ-UBND ngày 27/02/2019 của UBND tỉnh Lâm Đồng về việc sáp nhập Trung tâm Dân số - Kế hoạch hoá gia đình các huyện, thành phố và Trung tâm Y tế huyện, thành phố và Phương án sắp xếp nhân sự số 756/PAQ-TTYT ngày 14/10/2019 của Trung tâm Y tế thành phố Đà Lạt), tự nguyện thực hiện tinh giản biên chế và được cơ quan, đơn vị trực tiếp quản lý đồng ý</t>
  </si>
  <si>
    <t>Trịnh Thị Khương</t>
  </si>
  <si>
    <t>Dôi dư do rà soát, sắp xếp lại tổ chức bộ máy, nhân sự theo Quyết định số 386/QĐ-UBND ngày 27/02/2019 của UBND tỉnh Lâm Đồng về việc sáp nhập Trung tâm Dân số - Kế hoạch hoá gia đình các huyện, thành phố và Trung tâm Y tế huyện, thành phố và Phương án sắp xếp nhân sự số 505/PA-TTYT ngày 03/10/2019 của Trung tâm Y tế huyện Đơn Dương.</t>
  </si>
  <si>
    <t>Trần Văn Thanh</t>
  </si>
  <si>
    <t>Nguyễn Thị Lý</t>
  </si>
  <si>
    <t>Dôi dư do rà soát, sắp xếp lại tổ chức bộ máy, nhân sự theo Quyết định số 1836/QĐ-UBND ngày 29/8/2019 của UBND tỉnh Lâm Đồng về việc thành lập Trung tâm Kiểm soát bệnh tật tỉnh Lâm Đồng và Phương án sắp xếp nhân sự số 24/PA-KSBT ngày 11/10/2019 của Trung tâm Kiểm soát bệnh tật tỉnh Lâm Đồng.</t>
  </si>
  <si>
    <t>Nguyễn Văn Đức</t>
  </si>
  <si>
    <t>31n01t</t>
  </si>
  <si>
    <t>01/01/2014
01/01/2015
01/01/2016
01/01/2017
01/01/2018</t>
  </si>
  <si>
    <t>Hồ Đắc Mỹ Hạnh</t>
  </si>
  <si>
    <t>Bùi Thị Liên</t>
  </si>
  <si>
    <t>Đoàn Như Cương</t>
  </si>
  <si>
    <t>Năm 2019 có tổng số ngày nghỉ làm việc có xác nhận của cơ sở khám chữa bệnh và cơ quan Bảo hiểm xã hội chi trả trợ cấp ốm đau là 45 ngày, cá nhân tự nguyện thực hiện tinh giản biên chế và được cơ quan, đơn vị trực tiếp quản lý đồng ý.</t>
  </si>
  <si>
    <t>Đào Thị Bích Vân</t>
  </si>
  <si>
    <t>Năm 2019 có tổng số ngày nghỉ làm việc có xác nhận của cơ sở khám chữa bệnh và cơ quan Bảo hiểm xã hội chi trả trợ cấp ốm đau là 56 ngày, cá nhân tự nguyện thực hiện tinh giản biên chế và được cơ quan, đơn vị trực tiếp quản lý đồng ý.</t>
  </si>
  <si>
    <t>Nguyễn Dũng</t>
  </si>
  <si>
    <t>Có 02 năm liên tiếp liền kề tại thời điểm xét tinh giản biên chế, công chức có 01 năm được phân loại đánh giá xếp vào mức hoàn thành nhiệm vụ nhưng hạn chế về năng lực (năm 2017) và 01 năm không hoàn thành nhiệm vụ (năm 2018) nhưng không thể bố trí việc làm khác phù hợp.</t>
  </si>
  <si>
    <t>Di Linh</t>
  </si>
  <si>
    <t>Trần Thị Lựu</t>
  </si>
  <si>
    <t>4,06 + 14%</t>
  </si>
  <si>
    <t>10%
11%
12%
13%</t>
  </si>
  <si>
    <t>K'Nam</t>
  </si>
  <si>
    <t>Huỳnh Thị Nhung</t>
  </si>
  <si>
    <t>Trần Cao Thu Nguyệt</t>
  </si>
  <si>
    <t>Lê Thị Ngọc Lâu</t>
  </si>
  <si>
    <t>Nguyễn Lân</t>
  </si>
  <si>
    <t>Có 02 năm liên tiếp liền kề tại thời điểm xét tinh giản biên chế, công chức được phân loại, đánh giá xếp vào mức hoàn thành nhiệm vụ nhưng còn hạn chế về năng lực (năm 2017, năm 2018) nhưng không thể bố trí việc làm khác phù hợp.</t>
  </si>
  <si>
    <t>Đặng Văn Tính</t>
  </si>
  <si>
    <t>Cil Ha Dung</t>
  </si>
  <si>
    <t>Giáo viên trường TH Đạ Long, huyện Đam Rông</t>
  </si>
  <si>
    <t>Khương Xuân Tùng</t>
  </si>
  <si>
    <t>Nguyễn Công Chúng</t>
  </si>
  <si>
    <t>Có chuyên ngành đào tạo không phù hợp với vị trí việc làm hiện đang đảm nhiệm nên bị hạn chế về năng lực hoàn thành công việc được giao (năm 2017, năm 2018 hoàn thành nhiệm vụ nhưng hạn chế về năng lực), cá nhân tự nguyện thực hiện tinh giản biên chế và được cơ quan, đơn vị trực tiếp quản lý đồng ý.</t>
  </si>
  <si>
    <t>Lê Văn Sở</t>
  </si>
  <si>
    <t>Nguyễn Thị Thuỳ Dung</t>
  </si>
  <si>
    <t>Nguyễn Quang Mân</t>
  </si>
  <si>
    <t>32n09t</t>
  </si>
  <si>
    <t>Đoàn Thị Minh Huệ</t>
  </si>
  <si>
    <t>Cá nhân thôi giữ chức vụ do sắp xếp các phòng chuyên môn, nghiệp vụ theo Quyết định số 40/2019/QĐ-UBND ngày 09/9/2019 của UBND tỉnh Lâm Đồng về việc sửa đổi Điều 21 của Quy định chức năng, nhiệm vụ, quyền hạn và cơ cấu tổ chức của Sở Kế hoạch và Đầu tư tỉnh Lâm Đồng ban hành kèm theo Quyết định số 47/2016/QĐ-UBND ngày 23/8/2016, tự nguyện thực hiện tinh giản biên chế và được cơ quan, đơn vị trực tiếp quản lý đồng ý.</t>
  </si>
  <si>
    <t>Dôi dư do sắp xếp các phòng chuyên môn, nghiệp vụ theo Quyết định số 40/2019/QĐ-UBND ngày 09/9/2019 của UBND tỉnh Lâm Đồng về việc sửa đổi Điều 21 của Quy định chức năng, nhiệm vụ, quyền hạn và cơ cấu tổ chức của Sở Kế hoạch và Đầu tư tỉnh Lâm Đồng ban hành kèm theo Quyết định số 47/2016/QĐ-UBND ngày 23/8/2016.</t>
  </si>
  <si>
    <t>Có 02 năm liên tiếp liền kề tại thời điểm xét tinh giản biên chế, viên chức có 01 năm được phân loại đánh giá xếp vào mức hoàn thành nhiệm vụ (năm học 2017-2018) và 01 năm không hoàn thành nhiệm vụ (năm học 2018-2019). Cá nhân có đơn tự nguyện thực hiện tinh giản biên chế và được đơn vị trực tiếp quản lý đồng ý.</t>
  </si>
  <si>
    <t>Chưa đạt trình độ đào tạo theo tiêu chuẩn chuyên môn, nghiệp vụ quy định đối với vị trí việc làm đang đảm nhiệm (theo Quyết định số 1818/QĐ-UBND ngày 12/9/2018 của UBND tỉnh Lâm Đồng về việc phê duyệt bản mô tả công việc, khung năng lực theo VTVL thuộc UBND Tp.Bảo Lộc, trong đó quy định vị trí chuyên viên Quản lý Tôn giáo phải có trình độ từ Đại học trở lên). Cá nhân có đơn tự nguyện thực hiện tinh giản biên chế và được đơn vị trực tiếp quản lý đồng ý.</t>
  </si>
  <si>
    <t>Có 02 năm liên tiếp liền kề tại thời điểm xét tinh giản biên chế, công chức có 01 năm được phân loại đánh giá xếp vào mức hoàn thành nhiệm vụ nhưng hạn chế về năng lực (năm 2017) và 01 năm không hoàn thành nhiệm vụ (năm 2018). Cá nhân có đơn tự nguyện thực hiện tinh giản biên chế và được đơn vị trực tiếp quản lý đồng ý.</t>
  </si>
  <si>
    <t>Chưa đạt trình độ đào tạo theo tiêu chuẩn chuyên môn, nghiệp vụ quy định đối với vị trí việc làm đang đảm nhiệm theo quy định tại Điểm a Khoản 2 Điều 6 Thông tư số 23/2015/TTLT-BGDĐT-BNV. Cá nhân có đơn tự nguyện thực hiện tinh giản biên chế và được đơn vị trực tiếp quản lý đồng ý.</t>
  </si>
  <si>
    <t>Có 02 năm liên tiếp liền kề tại thời điểm xét tinh giản biên chế, viên chức có 01 năm được phân loại đánh giá xếp vào mức hoàn thành nhiệm vụ (năm học 2017-2018) và 01 năm không hoàn thành nhiệm vụ (năm học 2018-2019). Cá nhân tự nguyện thực hiện tinh giản biên chế và được cơ quan, đơn vị trực tiếp quản lý đồng ý.</t>
  </si>
  <si>
    <t>Có 02 năm liên tiếp liền kề tại thời điểm xét tinh giản biên chế, viên chức có 01 năm được phân loại đánh giá xếp vào mức hoàn thành nhiệm vụ (năm học 2018-2019) và 01 năm không hoàn thành nhiệm vụ (năm học 2017-2018). Cá nhân tự nguyện thực hiện tinh giản biên chế và được cơ quan, đơn vị trực tiếp quản lý đồng ý.</t>
  </si>
  <si>
    <t>Kră Jẵn Ha Sâm</t>
  </si>
  <si>
    <t>Nguyễn Kim Hoa</t>
  </si>
  <si>
    <t>Biểu số 3</t>
  </si>
  <si>
    <t xml:space="preserve">UỶ BAN NHÂN DÂN </t>
  </si>
  <si>
    <t>(Kèm theo Báo cáo số              /BC-SNV ngày         tháng      năm 2019 của Sở Nội vụ tỉnh Lâm Đồng)</t>
  </si>
  <si>
    <t>(Kèm theo Công văn số              /SNV-TCBC&amp;TCPCP  ngày           tháng       năm 2018 của Sở Nội vụ tỉnh Lâm Đồng)</t>
  </si>
  <si>
    <t xml:space="preserve">Tổng kinh phí để thực hiện chế độ </t>
  </si>
  <si>
    <t>Cơ quan, đơn vị sử dụng nguồn dự toán ngân sách được giao hàng năm hoặc nguồn thu của đơn vị được để lại</t>
  </si>
  <si>
    <t>Kinh phí ngân sách nhà nước bố trí quy định tại Điểm b, Khoản 2, Điều 2 và Điểm b, Khoản 2, Điều 3</t>
  </si>
  <si>
    <t>Chuyên viên phòng Nông nghiệp và PTNT, huyện Bảo Lâm</t>
  </si>
  <si>
    <t>36n11t</t>
  </si>
  <si>
    <t>57t5th</t>
  </si>
  <si>
    <t>3,06
3,26
3,46</t>
  </si>
  <si>
    <t>01/11/2012
01/11/2014
01/11/2016</t>
  </si>
  <si>
    <t>22n02t</t>
  </si>
  <si>
    <t>Trưởng công an xã Lộc Lâm, huyện Bảo Lâm</t>
  </si>
  <si>
    <t>1,71
1,89</t>
  </si>
  <si>
    <t>01/01/2014
01/01/2016</t>
  </si>
  <si>
    <t>24n04t</t>
  </si>
  <si>
    <t>58t8th</t>
  </si>
  <si>
    <t>Chuyên viên phòng Tài nguyên và Môi trường, huyện Bảo Lâm</t>
  </si>
  <si>
    <t>4,98 + 16%</t>
  </si>
  <si>
    <t>01/09/2013 đến 30/9/2018</t>
  </si>
  <si>
    <t>01/01/2014
01/01/2015
01/01/2016
01/01/2017</t>
  </si>
  <si>
    <t>34n04t</t>
  </si>
  <si>
    <t>Công chức Tư pháp – Hộ tịch thị trấn Đạ M’ri, huyện Đạ Huoai</t>
  </si>
  <si>
    <t>2,46
2,67</t>
  </si>
  <si>
    <t>01/05/2013
01/07/2014</t>
  </si>
  <si>
    <t>24n</t>
  </si>
  <si>
    <t>56t0th</t>
  </si>
  <si>
    <t>Nhân viên Văn phòng HĐND&amp;UBND huyện Đơn Dương</t>
  </si>
  <si>
    <t>3,48 + 12%</t>
  </si>
  <si>
    <t>32n</t>
  </si>
  <si>
    <t>50t8th</t>
  </si>
  <si>
    <t>Phó Trưởng phòng Phòng Y tế Đà Lạt</t>
  </si>
  <si>
    <t>3,99
4,32</t>
  </si>
  <si>
    <t>01/10/2011
01/10/2014</t>
  </si>
  <si>
    <t>35n04t</t>
  </si>
  <si>
    <t>55t7th</t>
  </si>
  <si>
    <t>Cán sự Phòng Tài nguyên và Môi trường thành phố Đà Lạt</t>
  </si>
  <si>
    <t>36n09t</t>
  </si>
  <si>
    <t>56t4th</t>
  </si>
  <si>
    <t>Phó Hiệu trưởng trường TH Lộc Bắc, huyện Bảo Lâm</t>
  </si>
  <si>
    <t>4,06+22%</t>
  </si>
  <si>
    <t xml:space="preserve">01/12/2013
01/12/2014
01/12/2015
01/12/2016
01/12/2017
01/12/2018 </t>
  </si>
  <si>
    <t>18%
19%
20%
21%</t>
  </si>
  <si>
    <t>37n04t</t>
  </si>
  <si>
    <t>56t11th</t>
  </si>
  <si>
    <t>Giáo viên trường TH Lộc Ngãi C, huyện Bảo Lâm</t>
  </si>
  <si>
    <t>17/10/2013 đến 31/8/2016</t>
  </si>
  <si>
    <t>01/09/2013
01/09/2014
01/09/2015
01/09/2016
01/09/2017
01/09/2018</t>
  </si>
  <si>
    <t>21n02t</t>
  </si>
  <si>
    <t>52t3th</t>
  </si>
  <si>
    <t>Viên chức Ban Quản lý rừng Nam Ban, huyện Lâm Hà</t>
  </si>
  <si>
    <t>3,63 + 10%</t>
  </si>
  <si>
    <t>01/04/2013
01/04/2014
01/04/2015
01/04/2016
01/04/2017</t>
  </si>
  <si>
    <t>29n11t</t>
  </si>
  <si>
    <t>55t5th</t>
  </si>
  <si>
    <t>Giáo viên trường THCS Gia Viễn, huyện Cát Tiên</t>
  </si>
  <si>
    <t>01/10/2008 đến 31/01/2014</t>
  </si>
  <si>
    <t>01/08/2013
01/08/2014
01/08/2015 
01/08/2016
01/08/2017
01/08/2018</t>
  </si>
  <si>
    <t>35n06t</t>
  </si>
  <si>
    <t>56t8th</t>
  </si>
  <si>
    <t>Giáo viên trường THCS Đồng Nai, huyện Cát Tiên</t>
  </si>
  <si>
    <t>01/05/2013
01/05/2014
01/05/2015 
01/05/2016
01/05/2017
01/05/2018</t>
  </si>
  <si>
    <t>24n05t</t>
  </si>
  <si>
    <t>Giáo viên trường TH Trần Quốc Toản, thị trấn Mađaguôi, huyện Đạ Huoai</t>
  </si>
  <si>
    <t>4,89 + 5%</t>
  </si>
  <si>
    <t>01/04/2013
01/04/2014
01/04/2015 
01/04/2016
01/04/2017
01/04/2018</t>
  </si>
  <si>
    <t>4,58
4,89</t>
  </si>
  <si>
    <t>01/08/2011
01/08/2014</t>
  </si>
  <si>
    <t>52t5th</t>
  </si>
  <si>
    <t>Viên chức Trung tâm Văn hoá, Thông tin và Thề thao, huyện Đạ Huoai</t>
  </si>
  <si>
    <t>3,63+ 14%</t>
  </si>
  <si>
    <t>35n08t</t>
  </si>
  <si>
    <t>Viên chức Ban Quản lý rừng Sêrêpôk, huyện Đam Rông</t>
  </si>
  <si>
    <t>26%
27%
28%
29%
30%</t>
  </si>
  <si>
    <t xml:space="preserve">01/01/2014
01/01/2015
01/01/2016
01/01/2017
01/01/2018 </t>
  </si>
  <si>
    <t>3,26
3,46</t>
  </si>
  <si>
    <t>01/12/2012
01/12/2014</t>
  </si>
  <si>
    <t>32n03t</t>
  </si>
  <si>
    <t>Giáo viên trường TH Phi Liêng, huyện Đam Rông</t>
  </si>
  <si>
    <t>01/06/2013
01/06/2014
01/06/2015
01/06/2016
01/06/2017
01/06/2018</t>
  </si>
  <si>
    <t>24n08t</t>
  </si>
  <si>
    <t>52t9th</t>
  </si>
  <si>
    <t>Trưởng ban Ban Quản lý rừng PH Ninh Gia, huyện Đức Trọng</t>
  </si>
  <si>
    <t>01/09/2010 đến nay</t>
  </si>
  <si>
    <t>01/07/2013
01/07/2014
01/07/2015
01/07/2016</t>
  </si>
  <si>
    <t>Phó trưởng ban Ban Quản lý rừng PH Ninh Gia, huyện Đức Trọng</t>
  </si>
  <si>
    <t>01/11/2010
01/08/2014</t>
  </si>
  <si>
    <t>31n10t</t>
  </si>
  <si>
    <t>Viên chức Ban Quản lý rừng PH Ninh Gia, huyện Đức Trọng</t>
  </si>
  <si>
    <t xml:space="preserve">4,06 + 7% </t>
  </si>
  <si>
    <t>01/05/2016
01/05/2017</t>
  </si>
  <si>
    <t>50t0th</t>
  </si>
  <si>
    <t>Giáo viên trường TH Lý Tự Trọng, huyện Đức Trọng</t>
  </si>
  <si>
    <t>25%
26%
27%
28%
29%
30%
31%</t>
  </si>
  <si>
    <t>01/12/2012
01/12/2013
01/12/2014
01/12/2015
01/12/2016
01/12/2017
01/12/2018</t>
  </si>
  <si>
    <t>51t0th</t>
  </si>
  <si>
    <t>Giáo viên trường THCS Ninh Gia, huyện Đức Trọng</t>
  </si>
  <si>
    <t>17%
18%
19%
20%</t>
  </si>
  <si>
    <t>01/01/2016
01/10/2016
01/10/2017
01/10/2018</t>
  </si>
  <si>
    <t>3,34
3,65</t>
  </si>
  <si>
    <t>01/09/2010
01/12/2013</t>
  </si>
  <si>
    <t>20n02t</t>
  </si>
  <si>
    <t>Nhân viên Kỹ thuật Trung tâm Văn hoá, Thông tin – Thể thao, huyện Đạ Tẻh</t>
  </si>
  <si>
    <t>4,06 + 13%</t>
  </si>
  <si>
    <t>01/08/2013
01/08/2014
01/08/2015
01/08/2016
01/08/2017</t>
  </si>
  <si>
    <t>35n11t</t>
  </si>
  <si>
    <t>Trưởng Đài Truyền thanh – Truyền hình, huyện Di Linh</t>
  </si>
  <si>
    <t xml:space="preserve">0,2
0,3
</t>
  </si>
  <si>
    <t>01/7/2005 đến 28/02/2016
01/3/2016 đến nay</t>
  </si>
  <si>
    <t>57t7th</t>
  </si>
  <si>
    <t>Viên chức Trung tâm Văn hoá – Thể thao, huyện Di Linh</t>
  </si>
  <si>
    <t>01/07/2013
01/07/2015</t>
  </si>
  <si>
    <t>24n09t</t>
  </si>
  <si>
    <t xml:space="preserve">4,03 + 13%  </t>
  </si>
  <si>
    <t>9%
10%
11%
12%</t>
  </si>
  <si>
    <t>Giáo viên Trung tâm Giáo dục nghề nghiệp - GDTX huyện Đơn Dương</t>
  </si>
  <si>
    <t xml:space="preserve">01/03/2013
01/03/2014
01/03/2015
01/03/2016
01/03/2017
01/03/2018 </t>
  </si>
  <si>
    <t>56t6th</t>
  </si>
  <si>
    <t>Giám đốc Đài Truyền thanh – Truyền hình huyện Đơn Dương</t>
  </si>
  <si>
    <t>4,98 + 6%</t>
  </si>
  <si>
    <t>4,65
4,98</t>
  </si>
  <si>
    <t>01/05/2011
01/05/2014</t>
  </si>
  <si>
    <t>Kiểm lâm viên Ban Quản lý rừng Lâm Viên thành phố Đà Lạt</t>
  </si>
  <si>
    <t>3,63 + 19%</t>
  </si>
  <si>
    <t>15%
16%
17%
18%</t>
  </si>
  <si>
    <t>Viên chức Trung tâm Y tế huyện Di Linh, Sở Y tế</t>
  </si>
  <si>
    <t>01/01/2015
01/01/2016
01/01/2017</t>
  </si>
  <si>
    <t>52t0th</t>
  </si>
  <si>
    <t>Viên chức Trung tâm Y tế huyện Đạ Huoai, Sở Y tế</t>
  </si>
  <si>
    <t>4,06 + 18%</t>
  </si>
  <si>
    <t>14%
15%
16%
17%</t>
  </si>
  <si>
    <t>4,98 + 9%</t>
  </si>
  <si>
    <t>39n10t</t>
  </si>
  <si>
    <t>57t2th</t>
  </si>
  <si>
    <t xml:space="preserve">Trưởng ban Ban quản lý Khu di tích Cát Tiên, Sở Văn hoá, Thể thao và Du lịch </t>
  </si>
  <si>
    <t>57t1th</t>
  </si>
  <si>
    <t>Viên chức Trung tâm Giống và Vật tư nông nghiệp – Sở Nông nghiệp và PTNT</t>
  </si>
  <si>
    <t>31t3th</t>
  </si>
  <si>
    <t>TỔNG HỢP CHUNG DANH SÁCH TINH GIẢN BIÊN CHẾ VÀ DỰ TOÁN KINH PHÍ THỰC HIỆN 06 THÁNG ĐẦU NĂM 2020</t>
  </si>
  <si>
    <t>Dôi dư do rà soát, sắp xếp lại tổ chức bộ máy, nhân sự theo Quyết định số 386/QĐ-UBND ngày 27/02/2019 của UBND tỉnh Lâm Đồng về việc sáp nhập Trung tâm Dân số - Kế hoạch hoá gia đình các huyện, thành phố và Trung tâm Y tế huyện, thành phố và Phương án sắp xếp nhân sự số 926/PA-TTYT ngày 11/10/2019 của Trung tâm Y tế huyện Đạ Tẻh.</t>
  </si>
  <si>
    <t>Có 02 năm liên tiếp liền kề tại thời điểm xét tinh giản biên chế, công chức được phân loại đánh giá xếp vào mức hoàn thành nhiệm vụ nhưng hạn chế về năng lực (năm 2017, năm 2018). Cá nhân có đơn tự nguyện thực hiện tinh giản biên chế và được đơn vị trực tiếp quản lý đồng ý.</t>
  </si>
  <si>
    <t>Chưa có bằng tốt nghiệp đại học hoặc đại học sư phạm trở lên chuyên ngành phù hợp với ngành, nghề giảng dạy, do đó đối tượng chưa đạt trình độ đào tạo theo tiêu chuẩn chuyên môn, nghiệp vụ quy định đối với vị trí việc làm đang đảm nhiệm – Giáo viên giáo dục nghề nghiệp lý thuyết hạng III theo Điểm a Khoản 2 Điều 9 Thông tư 03/2018/TT-BLĐTBXH ngày 15/6/2018 của Bộ Lao động - Thương binh và Xã hội và QĐ số 2637/QĐ-UBND ngày 25/12/2018 của UBND tỉnh Lâm Đồng về việc phê duyệt danh mục vị trí việc làm trong các đơn vị sự nghiệp công lập thuộc UBND huyện Di Linh. Cá nhân có đơn tự nguyện thực hiện tinh giản biên chế và được đơn vị trực tiếp quản lý đồng ý.</t>
  </si>
  <si>
    <t>Chưa có bằng tốt nghiệp đại học hoặc đại học sư phạm trở lên chuyên ngành phù hợp với ngành, nghề giảng dạy”, do đó đối tượng chưa đạt trình độ đào tạo theo tiêu chuẩn chuyên môn, nghiệp vụ quy định đối với vị trí việc làm đang đảm nhiệm – Giáo viên giáo dục nghề nghiệp lý thuyết hạng III theo Điểm a Khoản 2 Điều 9 Thông tư 03/2018/TT-BLĐTBXH ngày 15/6/2018 của Bộ Lao động - Thương binh và Xã hội và QĐ số 2637/QĐ-UBND ngày 25/12/2018 của UBND tỉnh Lâm Đồng về việc phê duyệt danh mục vị trí việc làm trong các đơn vị sự nghiệp công lập thuộc UBND huyện Di Linh. Cá nhân có đơn tự nguyện thực hiện tinh giản biên chế và được đơn vị trực tiếp quản lý đồng ý.</t>
  </si>
  <si>
    <t>Có 02 năm liên tiếp liền kề tại thời điểm xét tinh giản biên chế, viên chức có 01 năm được phân loại đánh giá xếp vào mức hoàn thành nhiệm vụ (năm học 2018-2019) và 01 năm không hoàn thành nhiệm vụ (năm học 2017-2018) nhưng không thể bố trí việc làm khác phù hợp.</t>
  </si>
  <si>
    <t>(Kèm theo Tờ trình số              /TTr-SNV ngày         tháng      năm 2019 của Sở Nội vụ tỉnh Lâm Đồng)</t>
  </si>
  <si>
    <t>(Kèm theo Quyết định số              /QĐ-UBND ngày         tháng       năm 2019 của UBND tỉnh Lâm Đồng)</t>
  </si>
  <si>
    <t>Cán bộ, công chức cấp xã</t>
  </si>
  <si>
    <t>Sở Y tế</t>
  </si>
  <si>
    <t>Bao gồm</t>
  </si>
  <si>
    <t>Kinh phí cơ quan chi từ dự toán ngân sách hàng năm, nguồn thu, nguồn kinh phí hợp pháp khác của đơn vị, Quỹ Hỗ trợ lao động dôi dư</t>
  </si>
  <si>
    <t>Ngân sách nhà nước cấp</t>
  </si>
  <si>
    <t>Y tế</t>
  </si>
  <si>
    <t>(Kèm theo Tờ trình số              /TTr-UBND ngày         tháng       năm 2020 của UBND tỉnh Lâm Đồng)</t>
  </si>
  <si>
    <t>Từ ngày 01 tháng 7 năm 2021 đến ngày 01 tháng 12 năm 2021</t>
  </si>
  <si>
    <t>SỞ TÀI CHÍNH</t>
  </si>
  <si>
    <t>\2</t>
  </si>
  <si>
    <t>DANH SÁCH VÀ KINH PHÍ CHI TRẢ CHO NHỮNG NGƯỜI NGHỈ HƯU TRƯỚC TUỔI  ĐỢT 2 NĂM 2021</t>
  </si>
  <si>
    <t>(Kèm theo Công văn số /STC-HCSN  ngày    tháng 11 năm 2019 của Sở Tài chính tỉnh Lâm Đồng)</t>
  </si>
  <si>
    <t>(Kèm theo Tờ trình số              /TTr-SNV  ngày         tháng      năm 2018 của Sở Nội vụ tỉnh Lâm Đồng)</t>
  </si>
  <si>
    <t>DANH SÁCH VÀ KINH PHÍ CHI TRẢ CHO NHỮNG NGƯỜI THÔI VIỆC NGAY ĐỢT 2 NĂM 2021</t>
  </si>
  <si>
    <t>Bảo Lộc</t>
  </si>
  <si>
    <t>55t6th</t>
  </si>
  <si>
    <t>3,65
3,96</t>
  </si>
  <si>
    <t>01/01/2017
01/01/2018
01/01/2019
01/01/2020
01/01/2021</t>
  </si>
  <si>
    <t>01/04/2017
01/04/2018
01/04/2019
01/04/2020
01/04/2021
01/04/2022</t>
  </si>
  <si>
    <t>4,98 + 12%</t>
  </si>
  <si>
    <t>Nguyễn Văn Sỹ</t>
  </si>
  <si>
    <t>0,3
0,5</t>
  </si>
  <si>
    <t>2009
01/07/2019</t>
  </si>
  <si>
    <t>38n01t</t>
  </si>
  <si>
    <t>30/6/2018</t>
  </si>
  <si>
    <t>01/7/2018</t>
  </si>
  <si>
    <t>30/6/2019</t>
  </si>
  <si>
    <t>01/7/2019</t>
  </si>
  <si>
    <t>31/3/2018</t>
  </si>
  <si>
    <t>01/4/2018</t>
  </si>
  <si>
    <t>31/3/2019</t>
  </si>
  <si>
    <t>01/4/2019</t>
  </si>
  <si>
    <t>31/3/2020</t>
  </si>
  <si>
    <t>01/4/2020</t>
  </si>
  <si>
    <t>31/3/2021</t>
  </si>
  <si>
    <t>01/4/2021</t>
  </si>
  <si>
    <t>31/3/2022</t>
  </si>
  <si>
    <t>01/4/2022</t>
  </si>
  <si>
    <t>(Kèm theo Tờ trình số              /TTr-SNV ngày         tháng      năm 2022 của Sở Nội vụ tỉnh Lâm Đồng)</t>
  </si>
  <si>
    <t>60t9th</t>
  </si>
  <si>
    <t>Vũ Thị Hiên</t>
  </si>
  <si>
    <t>Giáo viên trường TH Tân Thanh 2, huyện Lâm Hà</t>
  </si>
  <si>
    <t>01/01/2011
01/01/2015</t>
  </si>
  <si>
    <t>01/12/2012
01/12/2013
01/12/2014
01/12/2015
01/12/2016
01/12/2017</t>
  </si>
  <si>
    <t>24n11t</t>
  </si>
  <si>
    <t>Từ tháng 11/2018 đến nay bà Hiên nghỉ ốm dài ngày, có xác nhận của cơ sở khám chữa bệnh và cơ quan Bảo hiểm xã hội chi trả trợ cấp ốm đau, cá nhân tự nguyện thực hiện tinh giản biên chế và được cơ quan, đơn vị trực tiếp quản lý đồng ý.</t>
  </si>
  <si>
    <t>01/01/2023</t>
  </si>
  <si>
    <t>10/10/1973</t>
  </si>
  <si>
    <t>Viên chức Ban Quản lý Rừng PH Hòa Bắc – Hòa Nam, huyện Di Linh</t>
  </si>
  <si>
    <t>0.3 0.25</t>
  </si>
  <si>
    <t>3,33 3,66</t>
  </si>
  <si>
    <t>01/11/2016  01/11/2019</t>
  </si>
  <si>
    <t>4,98+7%</t>
  </si>
  <si>
    <t>Năm 2022 có tổng số ngày nghỉ làm việc có xác nhận của cơ sở khám chữa bệnh và cơ quan Bảo hiểm xã hội chi trả trợ cấp ốm đau là 60 ngày; cá nhân tự nguyện thực hiện tinh giản biên chế và được cơ quan, đơn vị trực tiếp quản lý đồng ý.</t>
  </si>
  <si>
    <t>Ngô Thị Trà My</t>
  </si>
  <si>
    <t>Kế toán trường TH Bùi Thị Xuân, tp Bảo Lộc</t>
  </si>
  <si>
    <t>7/2010- 7/2020
8/2020-7/2021</t>
  </si>
  <si>
    <t>2,46
2,66
2,86</t>
  </si>
  <si>
    <t>01/02/2016  01/02/2018
01/02/2020</t>
  </si>
  <si>
    <t>14n04t</t>
  </si>
  <si>
    <t>Nguyễn Thị Kim Thoa</t>
  </si>
  <si>
    <t>Giáo viên trường THCS Nguyễn Du, tp Đà Lạt</t>
  </si>
  <si>
    <t>30n06t</t>
  </si>
  <si>
    <t>01/04/2020
01/04/2021</t>
  </si>
  <si>
    <t>26n02t</t>
  </si>
  <si>
    <t>Kon Sa K'Bét</t>
  </si>
  <si>
    <t>Công chức Văn phòng – Thống kê xã Đạ Long, huyện Đam Rông</t>
  </si>
  <si>
    <t>18n1t</t>
  </si>
  <si>
    <t>Từ ngày 01 tháng 01 năm 2023 đến ngày 01 tháng 06 năm 2023</t>
  </si>
  <si>
    <t>52t1th</t>
  </si>
  <si>
    <t>(Kèm theo Tờ trình số              /TTr-UBND ngày         tháng       năm 2022 của UBND tỉnh Lâm Đồng)</t>
  </si>
  <si>
    <t>30n07t</t>
  </si>
  <si>
    <t>Từ tháng 11/2028 nghỉ ốm đau dài ngày do bị động kinh, có xác nhận của cơ sở khám chữa bệnh và của cơ quan Bảo hiểm xã hội chi trả trợ cấp ốm đau theo quy định của pháp luật; cá nhân tự nguyện thực hiện tinh giản biên chế được cơ quan, đơn vị trực tiếp quản lý đồng ý.</t>
  </si>
  <si>
    <t>Nguyễn Mạnh Hùng</t>
  </si>
  <si>
    <t>Phó Chủ tịch UBND xã Đam B'ri, thành phố Bảo Lộc</t>
  </si>
  <si>
    <t>Nguyễn Văn Hán</t>
  </si>
  <si>
    <t>Phó Bí thư Đảng ủy xã Đam B'ri, thành phố Bảo Lộc</t>
  </si>
  <si>
    <t>Năm 2021 bị kỷ luật khiển trách, được đánh giá xếp loại không hoàn thành nhiệm vụ, năm 2022 được đánh giá xếp loại hoàn thành nhiệm vụ; theo Thông báo số 383-TB/TU ngày 07/11/2022 của Ban Thường vụ Tỉnh ủy Lâm Đồng về chủ trương bố trí công tác đối với cán bộ, công chức, viên chức lãnh đạo, quản lý sau khi bị kỷ luật, hiện nay địa phương không có vị trí việc làm khác phù hợp để bố trí; cá nhân tự nguyện thực hiện tinh giản biên chế được cơ quan, đơn vị trực tiếp quản lý đồng ý.</t>
  </si>
  <si>
    <t>1/20210</t>
  </si>
  <si>
    <t>BL</t>
  </si>
  <si>
    <t>01/04/2017
01/07/2019</t>
  </si>
  <si>
    <t>3,00
3,33</t>
  </si>
  <si>
    <t>01/09/2014
01/09/2018</t>
  </si>
  <si>
    <t>30n01t</t>
  </si>
  <si>
    <t>51t6th</t>
  </si>
  <si>
    <t>56t5th</t>
  </si>
  <si>
    <t>TỔNG HỢP CHUNG DANH SÁCH TINH GIẢN BIÊN CHẾ VÀ DỰ TOÁN KINH PHÍ THỰC HIỆN BỔ SUNG ĐỢT 1 NĂM 2023</t>
  </si>
  <si>
    <t>(Kèm theo Quyết định  số              /QĐ-UBND ngày         tháng       năm 2023 của Chủ tịch UBND tỉnh Lâm Đồng)</t>
  </si>
  <si>
    <t>01/12/2012
01/12/2014
01/12/2015
01/12/2016
01/12/2017</t>
  </si>
  <si>
    <t>Trần Duy Hùng</t>
  </si>
  <si>
    <t>05/6/1966</t>
  </si>
  <si>
    <t>Đại học</t>
  </si>
  <si>
    <t>UVBVTTU, Nguyên Bí thư Thành ủy, nguyên Chủ tịch HĐND TP Đà Lạt</t>
  </si>
  <si>
    <t>6,78+
10%</t>
  </si>
  <si>
    <t>1,1</t>
  </si>
  <si>
    <t>01/08/2020-30/11/2022</t>
  </si>
  <si>
    <t>6%
7%
8%
9%
10%</t>
  </si>
  <si>
    <t>10/2017
10/2018
10/2019
10/2020
10/2021</t>
  </si>
  <si>
    <t>6,78+9%</t>
  </si>
  <si>
    <t>37n08t</t>
  </si>
  <si>
    <t>Nguyễn Văn Triệu</t>
  </si>
  <si>
    <t>15/9/1966</t>
  </si>
  <si>
    <t>UVBVTTU, Nguyên Bí thư Thành ủy, nguyên Chủ tịch HĐND TP Bảo Lộc</t>
  </si>
  <si>
    <t>6,78+6%</t>
  </si>
  <si>
    <t>01/07/2016-30/11/2022</t>
  </si>
  <si>
    <t xml:space="preserve">
5%
6%</t>
  </si>
  <si>
    <t xml:space="preserve">
01/2021
01/2022</t>
  </si>
  <si>
    <t>6,78+5%</t>
  </si>
  <si>
    <t>32n08th</t>
  </si>
  <si>
    <t>Theo điểm đ, khoản 1, điều 1 NĐ 143/2020-NĐ-CP: "Có 02 năm liên tiếp… hoặc không hoàn thành nhiệm vụ trong năm trước liền kề tại thời điểm xét tinh giản biên chế nhưng cá nhân tự nguyện thực hiện tinh giản biên chế và được cơ quan trực tiếp quản lý đồng ý".
Năm 2022 Bị kỷ luật hình thức khiển trách</t>
  </si>
  <si>
    <t>56t7th</t>
  </si>
  <si>
    <t>Từ tháng 07/2022 nghỉ ốm đau dài ngày vì phải ghép thận, có xác nhận của cơ sở khám chữa bệnh và của cơ quan Bảo hiểm xã hội chi trả trợ cấp ốm đau theo quy định của pháp luật; cá nhân tự nguyện thực hiện tinh giản biên chế được cơ quan, đơn vị trực tiếp quản lý đồng ý.</t>
  </si>
  <si>
    <t>,</t>
  </si>
  <si>
    <t>Giới tính</t>
  </si>
  <si>
    <t>Số TT</t>
  </si>
  <si>
    <t>Hệ số lương, ngạch, bậc hiện giữ</t>
  </si>
  <si>
    <t>Tiền lương tháng hiện hưởng (1.000 đồng)</t>
  </si>
  <si>
    <t>Tuổi khi nghỉ hưu, thôi việc</t>
  </si>
  <si>
    <t>Thời điểm nghỉ hưu, thôi việc</t>
  </si>
  <si>
    <t>Thời điểm nghỉ hưu theo Nghị định số 135/2020/NĐ-CP</t>
  </si>
  <si>
    <t>Thời gian về hưu sớm</t>
  </si>
  <si>
    <t>Nguồn kinh phí thực hiện</t>
  </si>
  <si>
    <t>Phụ cấp chức vụ</t>
  </si>
  <si>
    <t>Phụ cấp ưu đãi theo nghề (nếu có)</t>
  </si>
  <si>
    <t>Phụ cấp trách nhiệm theo nghề (nếu có)</t>
  </si>
  <si>
    <t>Phụ cấp công vụ</t>
  </si>
  <si>
    <t>Phụ cấp công tác đảng, đoàn thể chính trị - xã hội (nếu có)</t>
  </si>
  <si>
    <t>do đơn vị đảm bảo</t>
  </si>
  <si>
    <t>do Ngân sách đảm bảo</t>
  </si>
  <si>
    <t>Trợ cấp 3 tháng tìm việc (1.000 đồng)</t>
  </si>
  <si>
    <t xml:space="preserve">Trợ cấp do có trên 20 năm đóng BHXH </t>
  </si>
  <si>
    <t xml:space="preserve">Trợ cấp do có đủ 20 năm đóng BHXH </t>
  </si>
  <si>
    <t xml:space="preserve">Trợ cấp cho thời gian nghỉ hưu trước tuổi </t>
  </si>
  <si>
    <t xml:space="preserve">Trợ cấp hưu trí một lần cho thời gian nghỉ sớm </t>
  </si>
  <si>
    <t xml:space="preserve">Trợ cấp thôi việc </t>
  </si>
  <si>
    <t xml:space="preserve">Trợ cấp cho thời gian công tác có đóng BHXH </t>
  </si>
  <si>
    <t>ỦY BAN NHÂN DÂN
 XÃ BẢO THUẬN</t>
  </si>
  <si>
    <t>Trong đó, công tác ngành nghề độc hại, nguy hiểm, phụ cấp khu vực 0.7</t>
  </si>
  <si>
    <t>Nữ</t>
  </si>
  <si>
    <t>KẾ HOẠCH TINH GIẢN BIÊN CHẾ NĂM 2026</t>
  </si>
  <si>
    <t>(Kèm theo Kế hoạch số:      /KH-UBND ngày       /      /2026 của Ủy ban nhân dân xã Bảo Thuận)</t>
  </si>
  <si>
    <t>Hà Thị Dung</t>
  </si>
  <si>
    <t>5%</t>
  </si>
  <si>
    <t>01/01/2027</t>
  </si>
  <si>
    <t>4</t>
  </si>
  <si>
    <t>6</t>
  </si>
  <si>
    <t xml:space="preserve">Giáo viên Trường TH và THCS Đinh Lạc </t>
  </si>
  <si>
    <t>54 tuổi 
3 tháng</t>
  </si>
  <si>
    <t>05/10/1972</t>
  </si>
  <si>
    <t>34 năm
 1 tháng</t>
  </si>
  <si>
    <t>Thái Thị Thanh Thuỷ</t>
  </si>
  <si>
    <t xml:space="preserve">31 năm 04 tháng </t>
  </si>
  <si>
    <t>55 tuổi  06 tháng</t>
  </si>
  <si>
    <t>01/11/2030</t>
  </si>
  <si>
    <t>10</t>
  </si>
  <si>
    <t>01/06/1972</t>
  </si>
  <si>
    <t>01/07/2031</t>
  </si>
  <si>
    <t>Giáo viên Trường Tiểu học Tân Phú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</si>
</sst>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 &quot;₫&quot;_-;\-* #,##0.00\ &quot;₫&quot;_-;_-* &quot;-&quot;??\ &quot;₫&quot;_-;_-@_-"/>
    <numFmt numFmtId="165" formatCode="_-* #,##0.00_-;\-* #,##0.00_-;_-* &quot;-&quot;??_-;_-@_-"/>
    <numFmt numFmtId="166" formatCode="_-* #,##0.00\ _₫_-;\-* #,##0.00\ _₫_-;_-* &quot;-&quot;??\ _₫_-;_-@_-"/>
    <numFmt numFmtId="167" formatCode="_(* #,##0_);_(* \(#,##0\);_(* &quot;-&quot;??_);_(@_)"/>
    <numFmt numFmtId="168" formatCode="0.0"/>
    <numFmt numFmtId="169" formatCode="#.#######_ ;\-#.#######\ "/>
    <numFmt numFmtId="170" formatCode="#.00_ ;\-#.00\ "/>
  </numFmts>
  <fonts count="94" x14ac:knownFonts="1">
    <font>
      <sz val="11"/>
      <color theme="1"/>
      <name val="Calibri"/>
      <family val="2"/>
      <scheme val="minor"/>
    </font>
    <font>
      <sz val="11"/>
      <color indexed="8"/>
      <name val="Calibri"/>
      <family val="2"/>
    </font>
    <font>
      <b/>
      <sz val="12"/>
      <color indexed="8"/>
      <name val="Arial"/>
      <family val="2"/>
    </font>
    <font>
      <i/>
      <sz val="10"/>
      <color indexed="8"/>
      <name val="Arial"/>
      <family val="2"/>
    </font>
    <font>
      <b/>
      <sz val="10"/>
      <color indexed="8"/>
      <name val="Arial"/>
      <family val="2"/>
    </font>
    <font>
      <i/>
      <sz val="8"/>
      <color indexed="8"/>
      <name val="Arial"/>
      <family val="2"/>
    </font>
    <font>
      <sz val="8"/>
      <color indexed="8"/>
      <name val="Arial"/>
      <family val="2"/>
    </font>
    <font>
      <b/>
      <sz val="8"/>
      <color indexed="8"/>
      <name val="Arial"/>
      <family val="2"/>
    </font>
    <font>
      <sz val="10"/>
      <color indexed="8"/>
      <name val="Arial"/>
      <family val="2"/>
    </font>
    <font>
      <b/>
      <i/>
      <sz val="8"/>
      <color indexed="8"/>
      <name val="Arial"/>
      <family val="2"/>
    </font>
    <font>
      <b/>
      <i/>
      <sz val="10"/>
      <color indexed="8"/>
      <name val="Arial"/>
      <family val="2"/>
    </font>
    <font>
      <sz val="11"/>
      <color indexed="8"/>
      <name val="Calibri"/>
      <family val="2"/>
    </font>
    <font>
      <i/>
      <sz val="12"/>
      <color indexed="8"/>
      <name val="Arial"/>
      <family val="2"/>
    </font>
    <font>
      <sz val="10"/>
      <name val="Times New Roman"/>
      <family val="1"/>
    </font>
    <font>
      <sz val="8"/>
      <color indexed="10"/>
      <name val="Arial"/>
      <family val="2"/>
    </font>
    <font>
      <i/>
      <sz val="8"/>
      <color indexed="10"/>
      <name val="Arial"/>
      <family val="2"/>
    </font>
    <font>
      <i/>
      <sz val="13"/>
      <color indexed="8"/>
      <name val="Times New Roman"/>
      <family val="1"/>
    </font>
    <font>
      <b/>
      <sz val="14"/>
      <color indexed="8"/>
      <name val="Times New Roman"/>
      <family val="1"/>
    </font>
    <font>
      <b/>
      <sz val="14"/>
      <color indexed="8"/>
      <name val="Calibri"/>
      <family val="2"/>
    </font>
    <font>
      <b/>
      <sz val="15"/>
      <color indexed="8"/>
      <name val="Arial"/>
      <family val="2"/>
    </font>
    <font>
      <sz val="15"/>
      <color indexed="8"/>
      <name val="Calibri"/>
      <family val="2"/>
    </font>
    <font>
      <b/>
      <sz val="11"/>
      <color indexed="8"/>
      <name val="Calibri"/>
      <family val="2"/>
    </font>
    <font>
      <sz val="8"/>
      <name val="Calibri"/>
      <family val="2"/>
    </font>
    <font>
      <sz val="7"/>
      <name val="Times New Roman"/>
      <family val="1"/>
    </font>
    <font>
      <i/>
      <sz val="7"/>
      <color indexed="8"/>
      <name val="Times New Roman"/>
      <family val="1"/>
    </font>
    <font>
      <b/>
      <sz val="7"/>
      <color indexed="8"/>
      <name val="Times New Roman"/>
      <family val="1"/>
    </font>
    <font>
      <sz val="7"/>
      <color indexed="8"/>
      <name val="Times New Roman"/>
      <family val="1"/>
    </font>
    <font>
      <sz val="7"/>
      <color indexed="8"/>
      <name val="Times New Roman"/>
      <family val="1"/>
    </font>
    <font>
      <b/>
      <i/>
      <sz val="7"/>
      <color indexed="8"/>
      <name val="Times New Roman"/>
      <family val="1"/>
    </font>
    <font>
      <b/>
      <sz val="10"/>
      <color indexed="8"/>
      <name val="Times New Roman"/>
      <family val="1"/>
    </font>
    <font>
      <sz val="10"/>
      <color indexed="8"/>
      <name val="Calibri"/>
      <family val="2"/>
    </font>
    <font>
      <b/>
      <i/>
      <sz val="10"/>
      <color indexed="8"/>
      <name val="Times New Roman"/>
      <family val="1"/>
    </font>
    <font>
      <sz val="8"/>
      <color indexed="8"/>
      <name val="Times New Roman"/>
      <family val="1"/>
    </font>
    <font>
      <b/>
      <sz val="12"/>
      <color indexed="8"/>
      <name val="Times New Roman"/>
      <family val="1"/>
    </font>
    <font>
      <sz val="12"/>
      <color indexed="8"/>
      <name val="Times New Roman"/>
      <family val="1"/>
    </font>
    <font>
      <sz val="12"/>
      <color indexed="8"/>
      <name val="Times New Roman"/>
      <family val="1"/>
    </font>
    <font>
      <b/>
      <sz val="9"/>
      <color indexed="8"/>
      <name val="Times New Roman"/>
      <family val="1"/>
    </font>
    <font>
      <b/>
      <u/>
      <sz val="9"/>
      <color indexed="8"/>
      <name val="Times New Roman"/>
      <family val="1"/>
    </font>
    <font>
      <b/>
      <sz val="8"/>
      <color indexed="8"/>
      <name val="Times New Roman"/>
      <family val="1"/>
    </font>
    <font>
      <sz val="8"/>
      <color indexed="8"/>
      <name val="Calibri"/>
      <family val="2"/>
    </font>
    <font>
      <b/>
      <i/>
      <sz val="8"/>
      <color indexed="8"/>
      <name val="Times New Roman"/>
      <family val="1"/>
    </font>
    <font>
      <b/>
      <sz val="9"/>
      <name val="Times New Roman"/>
      <family val="1"/>
    </font>
    <font>
      <b/>
      <i/>
      <sz val="9"/>
      <name val="Times New Roman"/>
      <family val="1"/>
    </font>
    <font>
      <sz val="9"/>
      <name val="Times New Roman"/>
      <family val="1"/>
    </font>
    <font>
      <b/>
      <sz val="8"/>
      <name val="Times New Roman"/>
      <family val="1"/>
    </font>
    <font>
      <b/>
      <sz val="7"/>
      <name val="Times New Roman"/>
      <family val="1"/>
    </font>
    <font>
      <b/>
      <sz val="10"/>
      <name val="Times New Roman"/>
      <family val="1"/>
    </font>
    <font>
      <b/>
      <i/>
      <sz val="12"/>
      <color indexed="8"/>
      <name val="Times New Roman"/>
      <family val="1"/>
    </font>
    <font>
      <sz val="9"/>
      <color indexed="8"/>
      <name val="Times New Roman"/>
      <family val="1"/>
    </font>
    <font>
      <i/>
      <sz val="8"/>
      <color indexed="8"/>
      <name val="Times New Roman"/>
      <family val="1"/>
    </font>
    <font>
      <sz val="10"/>
      <color indexed="8"/>
      <name val="Times New Roman"/>
      <family val="1"/>
    </font>
    <font>
      <i/>
      <sz val="6"/>
      <color indexed="8"/>
      <name val="Times New Roman"/>
      <family val="1"/>
    </font>
    <font>
      <sz val="12"/>
      <color indexed="8"/>
      <name val="Calibri"/>
      <family val="2"/>
    </font>
    <font>
      <sz val="11"/>
      <color indexed="8"/>
      <name val="Times New Roman"/>
      <family val="1"/>
    </font>
    <font>
      <b/>
      <sz val="11"/>
      <color indexed="8"/>
      <name val="Times New Roman"/>
      <family val="1"/>
    </font>
    <font>
      <b/>
      <u/>
      <sz val="11"/>
      <color indexed="8"/>
      <name val="Times New Roman"/>
      <family val="1"/>
    </font>
    <font>
      <sz val="14"/>
      <color indexed="8"/>
      <name val="Calibri"/>
      <family val="2"/>
    </font>
    <font>
      <sz val="14"/>
      <color indexed="8"/>
      <name val="Times New Roman"/>
      <family val="1"/>
    </font>
    <font>
      <b/>
      <sz val="14"/>
      <color indexed="8"/>
      <name val="Arial"/>
      <family val="2"/>
    </font>
    <font>
      <b/>
      <u/>
      <sz val="14"/>
      <color indexed="8"/>
      <name val="Times New Roman"/>
      <family val="1"/>
    </font>
    <font>
      <b/>
      <i/>
      <sz val="13"/>
      <color indexed="8"/>
      <name val="Times New Roman"/>
      <family val="1"/>
    </font>
    <font>
      <b/>
      <sz val="7"/>
      <color indexed="8"/>
      <name val="Calibri"/>
      <family val="2"/>
    </font>
    <font>
      <sz val="12"/>
      <name val="Arial"/>
      <family val="2"/>
    </font>
    <font>
      <i/>
      <sz val="9"/>
      <color indexed="8"/>
      <name val="Times New Roman"/>
      <family val="1"/>
    </font>
    <font>
      <i/>
      <sz val="13"/>
      <color indexed="8"/>
      <name val="Times New Roman"/>
      <family val="1"/>
      <charset val="163"/>
    </font>
    <font>
      <i/>
      <sz val="7"/>
      <name val="Times New Roman"/>
      <family val="1"/>
    </font>
    <font>
      <i/>
      <sz val="6"/>
      <name val="Times New Roman"/>
      <family val="1"/>
    </font>
    <font>
      <sz val="11"/>
      <color theme="1"/>
      <name val="Calibri"/>
      <family val="2"/>
      <scheme val="minor"/>
    </font>
    <font>
      <b/>
      <sz val="11"/>
      <color theme="1"/>
      <name val="Calibri"/>
      <family val="2"/>
      <scheme val="minor"/>
    </font>
    <font>
      <sz val="7"/>
      <color theme="1"/>
      <name val="Times New Roman"/>
      <family val="1"/>
    </font>
    <font>
      <sz val="12"/>
      <color theme="1"/>
      <name val="Calibri"/>
      <family val="2"/>
      <scheme val="minor"/>
    </font>
    <font>
      <sz val="13"/>
      <color theme="1"/>
      <name val="Calibri"/>
      <family val="2"/>
      <scheme val="minor"/>
    </font>
    <font>
      <sz val="9"/>
      <color theme="1"/>
      <name val="Calibri"/>
      <family val="2"/>
      <scheme val="minor"/>
    </font>
    <font>
      <sz val="13"/>
      <color theme="1"/>
      <name val="Calibri"/>
      <family val="2"/>
      <charset val="163"/>
      <scheme val="minor"/>
    </font>
    <font>
      <b/>
      <sz val="7"/>
      <color rgb="FFFF0000"/>
      <name val="Times New Roman"/>
      <family val="1"/>
    </font>
    <font>
      <b/>
      <sz val="11"/>
      <color rgb="FFFF0000"/>
      <name val="Times New Roman"/>
      <family val="1"/>
    </font>
    <font>
      <sz val="11"/>
      <name val="Calibri"/>
      <family val="2"/>
      <scheme val="minor"/>
    </font>
    <font>
      <sz val="7"/>
      <color rgb="FFFF0000"/>
      <name val="Times New Roman"/>
      <family val="1"/>
    </font>
    <font>
      <i/>
      <sz val="13"/>
      <color rgb="FF000000"/>
      <name val="Times New Roman"/>
      <family val="1"/>
      <charset val="163"/>
    </font>
    <font>
      <sz val="7"/>
      <color rgb="FF7030A0"/>
      <name val="Times New Roman"/>
      <family val="1"/>
    </font>
    <font>
      <b/>
      <sz val="9"/>
      <color rgb="FF7030A0"/>
      <name val="Times New Roman"/>
      <family val="1"/>
    </font>
    <font>
      <sz val="11"/>
      <color rgb="FF7030A0"/>
      <name val="Calibri"/>
      <family val="2"/>
      <scheme val="minor"/>
    </font>
    <font>
      <b/>
      <sz val="11"/>
      <color rgb="FF7030A0"/>
      <name val="Calibri"/>
      <family val="2"/>
      <scheme val="minor"/>
    </font>
    <font>
      <sz val="8"/>
      <name val="Times New Roman"/>
      <family val="1"/>
    </font>
    <font>
      <sz val="13"/>
      <color theme="1"/>
      <name val="Times New Roman"/>
      <family val="1"/>
    </font>
    <font>
      <b/>
      <sz val="13"/>
      <color theme="1"/>
      <name val="Times New Roman"/>
      <family val="1"/>
    </font>
    <font>
      <b/>
      <sz val="13"/>
      <color rgb="FF000000"/>
      <name val="Times New Roman"/>
      <family val="1"/>
    </font>
    <font>
      <i/>
      <sz val="13"/>
      <color rgb="FF000000"/>
      <name val="Times New Roman"/>
      <family val="1"/>
    </font>
    <font>
      <sz val="13"/>
      <color rgb="FF000000"/>
      <name val="Times New Roman"/>
      <family val="1"/>
    </font>
    <font>
      <sz val="13"/>
      <name val="Times New Roman"/>
      <family val="1"/>
    </font>
    <font>
      <sz val="8"/>
      <name val="Calibri"/>
      <family val="2"/>
      <scheme val="minor"/>
    </font>
    <font>
      <b/>
      <sz val="18"/>
      <color theme="1"/>
      <name val="Times New Roman"/>
      <family val="1"/>
    </font>
    <font>
      <i/>
      <sz val="16"/>
      <color theme="1"/>
      <name val="Times New Roman"/>
      <family val="1"/>
    </font>
    <font>
      <sz val="14"/>
      <color theme="1"/>
      <name val="Times New Roman"/>
      <family val="1"/>
    </font>
  </fonts>
  <fills count="12">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49"/>
        <bgColor indexed="64"/>
      </patternFill>
    </fill>
    <fill>
      <patternFill patternType="solid">
        <fgColor indexed="55"/>
        <bgColor indexed="64"/>
      </patternFill>
    </fill>
    <fill>
      <patternFill patternType="solid">
        <fgColor indexed="44"/>
        <bgColor indexed="64"/>
      </patternFill>
    </fill>
    <fill>
      <patternFill patternType="solid">
        <fgColor theme="0"/>
        <bgColor indexed="64"/>
      </patternFill>
    </fill>
    <fill>
      <patternFill patternType="solid">
        <fgColor rgb="FF00B0F0"/>
        <bgColor indexed="64"/>
      </patternFill>
    </fill>
    <fill>
      <patternFill patternType="solid">
        <fgColor rgb="FFFFFF00"/>
        <bgColor indexed="64"/>
      </patternFill>
    </fill>
    <fill>
      <patternFill patternType="solid">
        <fgColor theme="4" tint="0.39997558519241921"/>
        <bgColor indexed="64"/>
      </patternFill>
    </fill>
    <fill>
      <patternFill patternType="solid">
        <fgColor rgb="FF92D050"/>
        <bgColor indexed="64"/>
      </patternFill>
    </fill>
  </fills>
  <borders count="63">
    <border>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bottom style="hair">
        <color indexed="64"/>
      </bottom>
      <diagonal/>
    </border>
    <border>
      <left/>
      <right style="medium">
        <color indexed="64"/>
      </right>
      <top/>
      <bottom style="hair">
        <color indexed="64"/>
      </bottom>
      <diagonal/>
    </border>
    <border>
      <left/>
      <right style="medium">
        <color indexed="64"/>
      </right>
      <top style="medium">
        <color indexed="64"/>
      </top>
      <bottom style="medium">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hair">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6">
    <xf numFmtId="0" fontId="0" fillId="0" borderId="0"/>
    <xf numFmtId="165" fontId="11" fillId="0" borderId="0" applyFont="0" applyFill="0" applyBorder="0" applyAlignment="0" applyProtection="0"/>
    <xf numFmtId="166" fontId="62" fillId="0" borderId="0" applyFont="0" applyFill="0" applyBorder="0" applyAlignment="0" applyProtection="0"/>
    <xf numFmtId="166" fontId="6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62" fillId="0" borderId="0"/>
    <xf numFmtId="0" fontId="67" fillId="0" borderId="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cellStyleXfs>
  <cellXfs count="745">
    <xf numFmtId="0" fontId="0" fillId="0" borderId="0" xfId="0"/>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horizontal="center" vertical="center" wrapText="1"/>
    </xf>
    <xf numFmtId="0" fontId="5" fillId="0" borderId="2" xfId="0" applyFont="1" applyBorder="1" applyAlignment="1">
      <alignment horizontal="center" vertical="center" wrapText="1"/>
    </xf>
    <xf numFmtId="0" fontId="8" fillId="0" borderId="0" xfId="0" applyFont="1" applyAlignment="1">
      <alignment vertical="center"/>
    </xf>
    <xf numFmtId="0" fontId="9" fillId="0" borderId="0" xfId="0" applyFont="1" applyAlignment="1">
      <alignmen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8" fillId="0" borderId="0" xfId="0" applyFont="1" applyAlignment="1">
      <alignment horizontal="center" vertical="center" wrapText="1"/>
    </xf>
    <xf numFmtId="0" fontId="0" fillId="0" borderId="0" xfId="0" applyAlignment="1">
      <alignment vertical="top" wrapText="1"/>
    </xf>
    <xf numFmtId="0" fontId="3" fillId="0" borderId="0" xfId="0" applyFont="1" applyAlignme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vertical="center"/>
    </xf>
    <xf numFmtId="0" fontId="8" fillId="0" borderId="0" xfId="0" applyFont="1" applyAlignment="1">
      <alignment vertical="center" wrapText="1"/>
    </xf>
    <xf numFmtId="0" fontId="0" fillId="0" borderId="0" xfId="0" applyAlignment="1">
      <alignment horizontal="left"/>
    </xf>
    <xf numFmtId="14" fontId="0" fillId="0" borderId="0" xfId="0" applyNumberFormat="1"/>
    <xf numFmtId="1" fontId="0" fillId="0" borderId="0" xfId="0" applyNumberFormat="1"/>
    <xf numFmtId="14" fontId="6" fillId="0" borderId="1" xfId="0" applyNumberFormat="1" applyFont="1" applyBorder="1" applyAlignment="1">
      <alignment horizontal="center" vertical="center" wrapText="1"/>
    </xf>
    <xf numFmtId="2" fontId="6" fillId="0" borderId="1" xfId="0" applyNumberFormat="1" applyFont="1" applyBorder="1" applyAlignment="1">
      <alignment horizontal="center" vertical="center" wrapText="1"/>
    </xf>
    <xf numFmtId="0" fontId="5" fillId="2" borderId="1" xfId="0" applyFont="1" applyFill="1" applyBorder="1" applyAlignment="1">
      <alignment horizontal="center" vertical="center" wrapText="1"/>
    </xf>
    <xf numFmtId="167" fontId="6" fillId="0" borderId="1" xfId="1" applyNumberFormat="1" applyFont="1" applyFill="1" applyBorder="1" applyAlignment="1">
      <alignment horizontal="center" vertical="center" wrapText="1"/>
    </xf>
    <xf numFmtId="167" fontId="6" fillId="0" borderId="1" xfId="0" applyNumberFormat="1" applyFont="1" applyBorder="1" applyAlignment="1">
      <alignment horizontal="center" vertical="center" wrapText="1"/>
    </xf>
    <xf numFmtId="167" fontId="6" fillId="0" borderId="1" xfId="1" applyNumberFormat="1" applyFont="1" applyBorder="1" applyAlignment="1">
      <alignment horizontal="center" vertical="center" wrapText="1"/>
    </xf>
    <xf numFmtId="167" fontId="0" fillId="0" borderId="0" xfId="0" applyNumberFormat="1"/>
    <xf numFmtId="167"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vertical="center" wrapText="1"/>
    </xf>
    <xf numFmtId="0" fontId="6" fillId="0" borderId="6" xfId="0" applyFont="1" applyBorder="1" applyAlignment="1">
      <alignment horizontal="center" vertical="center" wrapText="1"/>
    </xf>
    <xf numFmtId="14" fontId="6" fillId="0" borderId="6" xfId="0" applyNumberFormat="1" applyFont="1" applyBorder="1" applyAlignment="1">
      <alignment horizontal="center" vertical="center" wrapText="1"/>
    </xf>
    <xf numFmtId="2" fontId="6" fillId="0" borderId="6" xfId="0" applyNumberFormat="1" applyFont="1" applyBorder="1" applyAlignment="1">
      <alignment horizontal="center" vertical="center" wrapText="1"/>
    </xf>
    <xf numFmtId="167" fontId="6" fillId="0" borderId="6" xfId="1" applyNumberFormat="1" applyFont="1" applyFill="1" applyBorder="1" applyAlignment="1">
      <alignment horizontal="center" vertical="center" wrapText="1"/>
    </xf>
    <xf numFmtId="0" fontId="6" fillId="0" borderId="7" xfId="0" applyFont="1" applyBorder="1" applyAlignment="1">
      <alignment horizontal="center" vertical="center" wrapText="1"/>
    </xf>
    <xf numFmtId="0" fontId="7" fillId="0" borderId="8" xfId="0" applyFont="1" applyBorder="1" applyAlignment="1">
      <alignment horizontal="center" vertical="center" wrapText="1"/>
    </xf>
    <xf numFmtId="0" fontId="6" fillId="0" borderId="8" xfId="0" applyFont="1" applyBorder="1" applyAlignment="1">
      <alignment horizontal="center" vertical="center" wrapText="1"/>
    </xf>
    <xf numFmtId="2" fontId="6" fillId="0" borderId="8" xfId="0" applyNumberFormat="1" applyFont="1" applyBorder="1" applyAlignment="1">
      <alignment horizontal="center" vertical="center" wrapText="1"/>
    </xf>
    <xf numFmtId="167" fontId="6" fillId="0" borderId="8" xfId="1" applyNumberFormat="1"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14" fontId="6" fillId="0" borderId="8" xfId="0" applyNumberFormat="1" applyFont="1" applyBorder="1" applyAlignment="1">
      <alignment horizontal="center" vertical="center" wrapText="1"/>
    </xf>
    <xf numFmtId="14" fontId="6" fillId="0" borderId="0" xfId="0" applyNumberFormat="1" applyFont="1" applyAlignment="1">
      <alignment horizontal="center" vertical="center" wrapText="1"/>
    </xf>
    <xf numFmtId="0" fontId="6" fillId="0" borderId="0" xfId="0" applyFont="1" applyAlignment="1">
      <alignment horizontal="center" vertical="center" wrapText="1"/>
    </xf>
    <xf numFmtId="2" fontId="6" fillId="0" borderId="0" xfId="0" applyNumberFormat="1" applyFont="1" applyAlignment="1">
      <alignment horizontal="center" vertical="center" wrapText="1"/>
    </xf>
    <xf numFmtId="167" fontId="6" fillId="0" borderId="0" xfId="1" applyNumberFormat="1" applyFont="1" applyFill="1" applyBorder="1" applyAlignment="1">
      <alignment horizontal="center" vertical="center" wrapText="1"/>
    </xf>
    <xf numFmtId="2" fontId="13" fillId="3" borderId="0" xfId="0" applyNumberFormat="1" applyFont="1" applyFill="1"/>
    <xf numFmtId="0" fontId="13" fillId="3" borderId="0" xfId="12" applyNumberFormat="1" applyFont="1" applyFill="1" applyBorder="1"/>
    <xf numFmtId="9" fontId="13" fillId="3" borderId="0" xfId="12" applyFont="1" applyFill="1" applyBorder="1"/>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vertical="center" wrapText="1"/>
    </xf>
    <xf numFmtId="0" fontId="4" fillId="0" borderId="1" xfId="0" applyFont="1" applyBorder="1" applyAlignment="1">
      <alignment horizontal="center" vertical="center" wrapText="1"/>
    </xf>
    <xf numFmtId="0" fontId="10" fillId="0" borderId="0" xfId="0" applyFont="1" applyAlignment="1">
      <alignment vertical="center"/>
    </xf>
    <xf numFmtId="0" fontId="6" fillId="0" borderId="0" xfId="0" applyFont="1" applyAlignment="1">
      <alignment vertical="center"/>
    </xf>
    <xf numFmtId="0" fontId="18" fillId="0" borderId="0" xfId="0" applyFont="1" applyAlignment="1">
      <alignment horizontal="center"/>
    </xf>
    <xf numFmtId="0" fontId="4" fillId="0" borderId="0" xfId="0" applyFont="1" applyAlignment="1">
      <alignment horizontal="left" vertical="center"/>
    </xf>
    <xf numFmtId="0" fontId="20" fillId="0" borderId="0" xfId="0" applyFont="1"/>
    <xf numFmtId="0" fontId="16" fillId="0" borderId="0" xfId="0" applyFont="1" applyAlignment="1">
      <alignment horizontal="center" vertical="center" wrapText="1"/>
    </xf>
    <xf numFmtId="0" fontId="17" fillId="0" borderId="0" xfId="0" applyFont="1" applyAlignment="1">
      <alignment horizontal="center"/>
    </xf>
    <xf numFmtId="0" fontId="16" fillId="0" borderId="0" xfId="0" applyFont="1" applyAlignment="1">
      <alignment horizontal="center" vertical="center"/>
    </xf>
    <xf numFmtId="0" fontId="5" fillId="2" borderId="2" xfId="0" applyFont="1" applyFill="1" applyBorder="1" applyAlignment="1">
      <alignment horizontal="center" vertical="center" wrapText="1"/>
    </xf>
    <xf numFmtId="0" fontId="6" fillId="0" borderId="11" xfId="0" applyFont="1" applyBorder="1" applyAlignment="1">
      <alignment horizontal="center" vertical="center" wrapText="1"/>
    </xf>
    <xf numFmtId="167" fontId="6" fillId="0" borderId="6" xfId="0" applyNumberFormat="1" applyFont="1" applyBorder="1" applyAlignment="1">
      <alignment horizontal="center" vertical="center" wrapText="1"/>
    </xf>
    <xf numFmtId="14" fontId="6" fillId="0" borderId="5" xfId="0" applyNumberFormat="1" applyFont="1" applyBorder="1" applyAlignment="1">
      <alignment horizontal="center" vertical="center" wrapText="1"/>
    </xf>
    <xf numFmtId="167" fontId="14" fillId="0" borderId="6" xfId="0" applyNumberFormat="1" applyFont="1" applyBorder="1" applyAlignment="1">
      <alignment horizontal="center" vertical="center" wrapText="1"/>
    </xf>
    <xf numFmtId="2" fontId="13" fillId="3" borderId="12" xfId="0" applyNumberFormat="1" applyFont="1" applyFill="1" applyBorder="1"/>
    <xf numFmtId="0" fontId="13" fillId="3" borderId="13" xfId="12" applyNumberFormat="1" applyFont="1" applyFill="1" applyBorder="1"/>
    <xf numFmtId="9" fontId="13" fillId="3" borderId="13" xfId="12" applyFont="1" applyFill="1" applyBorder="1"/>
    <xf numFmtId="0" fontId="7" fillId="0" borderId="4" xfId="0" applyFont="1" applyBorder="1" applyAlignment="1">
      <alignment vertical="center" wrapText="1"/>
    </xf>
    <xf numFmtId="0" fontId="7" fillId="0" borderId="10" xfId="0" applyFont="1" applyBorder="1" applyAlignment="1">
      <alignment vertical="center" wrapText="1"/>
    </xf>
    <xf numFmtId="0" fontId="21" fillId="0" borderId="0" xfId="0" applyFont="1"/>
    <xf numFmtId="0" fontId="25" fillId="0" borderId="0" xfId="0" applyFont="1" applyAlignment="1">
      <alignment horizontal="left" vertical="center"/>
    </xf>
    <xf numFmtId="0" fontId="26" fillId="0" borderId="14" xfId="0" applyFont="1" applyBorder="1" applyAlignment="1">
      <alignment horizontal="center" vertical="center" wrapText="1"/>
    </xf>
    <xf numFmtId="0" fontId="26" fillId="0" borderId="15" xfId="0" applyFont="1" applyBorder="1" applyAlignment="1">
      <alignment vertical="center" wrapText="1"/>
    </xf>
    <xf numFmtId="14" fontId="26" fillId="0" borderId="15" xfId="0" applyNumberFormat="1" applyFont="1" applyBorder="1" applyAlignment="1">
      <alignment horizontal="center" vertical="center" wrapText="1"/>
    </xf>
    <xf numFmtId="0" fontId="26" fillId="0" borderId="15" xfId="0" applyFont="1" applyBorder="1" applyAlignment="1">
      <alignment horizontal="center" vertical="center" wrapText="1"/>
    </xf>
    <xf numFmtId="2" fontId="26" fillId="0" borderId="15" xfId="0" applyNumberFormat="1" applyFont="1" applyBorder="1" applyAlignment="1">
      <alignment horizontal="center" vertical="center" wrapText="1"/>
    </xf>
    <xf numFmtId="167" fontId="26" fillId="0" borderId="15" xfId="1" applyNumberFormat="1" applyFont="1" applyFill="1" applyBorder="1" applyAlignment="1">
      <alignment horizontal="center" vertical="center" wrapText="1"/>
    </xf>
    <xf numFmtId="167" fontId="26" fillId="0" borderId="15" xfId="0" applyNumberFormat="1" applyFont="1" applyBorder="1" applyAlignment="1">
      <alignment horizontal="center" vertical="center" wrapText="1"/>
    </xf>
    <xf numFmtId="1" fontId="26" fillId="0" borderId="15" xfId="0" applyNumberFormat="1" applyFont="1" applyBorder="1" applyAlignment="1">
      <alignment horizontal="center" vertical="center" wrapText="1"/>
    </xf>
    <xf numFmtId="167" fontId="26" fillId="0" borderId="15" xfId="1" applyNumberFormat="1" applyFont="1" applyBorder="1" applyAlignment="1">
      <alignment horizontal="center" vertical="center" wrapText="1"/>
    </xf>
    <xf numFmtId="0" fontId="26" fillId="0" borderId="16" xfId="0" applyFont="1" applyBorder="1" applyAlignment="1">
      <alignment horizontal="left" vertical="center" wrapText="1"/>
    </xf>
    <xf numFmtId="0" fontId="26" fillId="0" borderId="17" xfId="0" applyFont="1" applyBorder="1" applyAlignment="1">
      <alignment horizontal="center" vertical="center" wrapText="1"/>
    </xf>
    <xf numFmtId="0" fontId="26" fillId="0" borderId="18" xfId="0" applyFont="1" applyBorder="1" applyAlignment="1">
      <alignment vertical="center" wrapText="1"/>
    </xf>
    <xf numFmtId="0" fontId="26" fillId="0" borderId="18" xfId="0" applyFont="1" applyBorder="1" applyAlignment="1">
      <alignment horizontal="center" vertical="center" wrapText="1"/>
    </xf>
    <xf numFmtId="14" fontId="26" fillId="0" borderId="18" xfId="0" applyNumberFormat="1" applyFont="1" applyBorder="1" applyAlignment="1">
      <alignment horizontal="center" vertical="center" wrapText="1"/>
    </xf>
    <xf numFmtId="2" fontId="26" fillId="0" borderId="18" xfId="0" applyNumberFormat="1" applyFont="1" applyBorder="1" applyAlignment="1">
      <alignment horizontal="center" vertical="center" wrapText="1"/>
    </xf>
    <xf numFmtId="167" fontId="26" fillId="0" borderId="18" xfId="1" applyNumberFormat="1" applyFont="1" applyFill="1" applyBorder="1" applyAlignment="1">
      <alignment horizontal="center" vertical="center" wrapText="1"/>
    </xf>
    <xf numFmtId="0" fontId="26" fillId="0" borderId="19" xfId="0" applyFont="1" applyBorder="1" applyAlignment="1">
      <alignment horizontal="left" vertical="center" wrapText="1"/>
    </xf>
    <xf numFmtId="0" fontId="26" fillId="0" borderId="20" xfId="0" applyFont="1" applyBorder="1" applyAlignment="1">
      <alignment horizontal="center" vertical="center" wrapText="1"/>
    </xf>
    <xf numFmtId="0" fontId="26" fillId="0" borderId="21" xfId="0" applyFont="1" applyBorder="1" applyAlignment="1">
      <alignment vertical="center" wrapText="1"/>
    </xf>
    <xf numFmtId="14" fontId="26" fillId="0" borderId="21" xfId="0" applyNumberFormat="1" applyFont="1" applyBorder="1" applyAlignment="1">
      <alignment horizontal="center" vertical="center" wrapText="1"/>
    </xf>
    <xf numFmtId="0" fontId="26" fillId="0" borderId="21" xfId="0" applyFont="1" applyBorder="1" applyAlignment="1">
      <alignment horizontal="center" vertical="center" wrapText="1"/>
    </xf>
    <xf numFmtId="2" fontId="26" fillId="0" borderId="21" xfId="0" applyNumberFormat="1" applyFont="1" applyBorder="1" applyAlignment="1">
      <alignment horizontal="center" vertical="center" wrapText="1"/>
    </xf>
    <xf numFmtId="167" fontId="26" fillId="0" borderId="21" xfId="1" applyNumberFormat="1" applyFont="1" applyFill="1" applyBorder="1" applyAlignment="1">
      <alignment horizontal="center" vertical="center" wrapText="1"/>
    </xf>
    <xf numFmtId="167" fontId="26" fillId="0" borderId="21" xfId="1" applyNumberFormat="1" applyFont="1" applyBorder="1" applyAlignment="1">
      <alignment horizontal="center" vertical="center" wrapText="1"/>
    </xf>
    <xf numFmtId="167" fontId="26" fillId="0" borderId="21" xfId="0" applyNumberFormat="1" applyFont="1" applyBorder="1" applyAlignment="1">
      <alignment horizontal="center" vertical="center" wrapText="1"/>
    </xf>
    <xf numFmtId="0" fontId="26" fillId="0" borderId="22" xfId="0" applyFont="1" applyBorder="1" applyAlignment="1">
      <alignment horizontal="left" vertical="center" wrapText="1"/>
    </xf>
    <xf numFmtId="0" fontId="26" fillId="0" borderId="12" xfId="0" applyFont="1" applyBorder="1" applyAlignment="1">
      <alignment horizontal="center" vertical="center" wrapText="1"/>
    </xf>
    <xf numFmtId="0" fontId="26" fillId="0" borderId="13" xfId="0" applyFont="1" applyBorder="1" applyAlignment="1">
      <alignment vertical="center" wrapText="1"/>
    </xf>
    <xf numFmtId="0" fontId="26" fillId="0" borderId="13" xfId="0" applyFont="1" applyBorder="1" applyAlignment="1">
      <alignment horizontal="center" vertical="center" wrapText="1"/>
    </xf>
    <xf numFmtId="14" fontId="26" fillId="0" borderId="13" xfId="0" applyNumberFormat="1" applyFont="1" applyBorder="1" applyAlignment="1">
      <alignment horizontal="center" vertical="center" wrapText="1"/>
    </xf>
    <xf numFmtId="2" fontId="26" fillId="0" borderId="13" xfId="0" applyNumberFormat="1" applyFont="1" applyBorder="1" applyAlignment="1">
      <alignment horizontal="center" vertical="center" wrapText="1"/>
    </xf>
    <xf numFmtId="167" fontId="26" fillId="0" borderId="13" xfId="1" applyNumberFormat="1" applyFont="1" applyFill="1" applyBorder="1" applyAlignment="1">
      <alignment horizontal="center" vertical="center" wrapText="1"/>
    </xf>
    <xf numFmtId="0" fontId="26" fillId="0" borderId="23" xfId="0" applyFont="1" applyBorder="1" applyAlignment="1">
      <alignment horizontal="left" vertical="center" wrapText="1"/>
    </xf>
    <xf numFmtId="9" fontId="26" fillId="0" borderId="15" xfId="0" applyNumberFormat="1" applyFont="1" applyBorder="1" applyAlignment="1">
      <alignment horizontal="center" vertical="center" wrapText="1"/>
    </xf>
    <xf numFmtId="1" fontId="26" fillId="0" borderId="21" xfId="0" applyNumberFormat="1" applyFont="1" applyBorder="1" applyAlignment="1">
      <alignment horizontal="center" vertical="center" wrapText="1"/>
    </xf>
    <xf numFmtId="0" fontId="26" fillId="3" borderId="15" xfId="0" applyFont="1" applyFill="1" applyBorder="1" applyAlignment="1">
      <alignment horizontal="center" vertical="center" wrapText="1"/>
    </xf>
    <xf numFmtId="0" fontId="25" fillId="0" borderId="13" xfId="0" applyFont="1" applyBorder="1" applyAlignment="1">
      <alignment horizontal="center" vertical="center" wrapText="1"/>
    </xf>
    <xf numFmtId="0" fontId="26" fillId="0" borderId="0" xfId="0" applyFont="1" applyAlignment="1">
      <alignment vertical="center"/>
    </xf>
    <xf numFmtId="0" fontId="27" fillId="0" borderId="0" xfId="0" applyFont="1"/>
    <xf numFmtId="0" fontId="28" fillId="0" borderId="0" xfId="0" applyFont="1" applyAlignment="1">
      <alignment vertical="center" wrapText="1"/>
    </xf>
    <xf numFmtId="0" fontId="24" fillId="0" borderId="0" xfId="0" applyFont="1" applyAlignment="1">
      <alignment horizontal="center" vertical="center" wrapText="1"/>
    </xf>
    <xf numFmtId="0" fontId="28" fillId="0" borderId="0" xfId="0" applyFont="1" applyAlignment="1">
      <alignment vertical="center"/>
    </xf>
    <xf numFmtId="0" fontId="25" fillId="0" borderId="0" xfId="0" applyFont="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vertical="top" wrapText="1"/>
    </xf>
    <xf numFmtId="0" fontId="24" fillId="0" borderId="0" xfId="0" applyFont="1" applyAlignment="1">
      <alignment vertical="center"/>
    </xf>
    <xf numFmtId="0" fontId="30" fillId="0" borderId="0" xfId="0" applyFont="1"/>
    <xf numFmtId="14" fontId="26" fillId="0" borderId="24" xfId="0" applyNumberFormat="1" applyFont="1" applyBorder="1" applyAlignment="1">
      <alignment horizontal="center" vertical="center" wrapText="1"/>
    </xf>
    <xf numFmtId="0" fontId="34" fillId="0" borderId="0" xfId="0" applyFont="1"/>
    <xf numFmtId="0" fontId="35" fillId="0" borderId="0" xfId="0" applyFont="1"/>
    <xf numFmtId="0" fontId="26" fillId="0" borderId="16" xfId="0" applyFont="1" applyBorder="1" applyAlignment="1">
      <alignment horizontal="center" vertical="center" wrapText="1"/>
    </xf>
    <xf numFmtId="0" fontId="26" fillId="0" borderId="23" xfId="0" applyFont="1" applyBorder="1" applyAlignment="1">
      <alignment horizontal="center" vertical="center" wrapText="1"/>
    </xf>
    <xf numFmtId="0" fontId="26" fillId="0" borderId="25" xfId="0" applyFont="1" applyBorder="1" applyAlignment="1">
      <alignment horizontal="center" vertical="center" wrapText="1"/>
    </xf>
    <xf numFmtId="0" fontId="26" fillId="0" borderId="24" xfId="0" applyFont="1" applyBorder="1" applyAlignment="1">
      <alignment horizontal="center" vertical="center" wrapText="1"/>
    </xf>
    <xf numFmtId="167" fontId="26" fillId="0" borderId="24" xfId="1" applyNumberFormat="1" applyFont="1" applyFill="1" applyBorder="1" applyAlignment="1">
      <alignment horizontal="center" vertical="center" wrapText="1"/>
    </xf>
    <xf numFmtId="0" fontId="26" fillId="0" borderId="26" xfId="0" applyFont="1" applyBorder="1" applyAlignment="1">
      <alignment horizontal="center" vertical="center" wrapText="1"/>
    </xf>
    <xf numFmtId="0" fontId="26" fillId="0" borderId="24" xfId="0" applyFont="1" applyBorder="1" applyAlignment="1">
      <alignment vertical="center" wrapText="1"/>
    </xf>
    <xf numFmtId="0" fontId="25" fillId="0" borderId="0" xfId="0" applyFont="1" applyAlignment="1">
      <alignment horizontal="center" vertical="center"/>
    </xf>
    <xf numFmtId="0" fontId="26" fillId="0" borderId="27" xfId="0" applyFont="1" applyBorder="1" applyAlignment="1">
      <alignment horizontal="center" vertical="center" wrapText="1"/>
    </xf>
    <xf numFmtId="0" fontId="26" fillId="0" borderId="28" xfId="0" applyFont="1" applyBorder="1" applyAlignment="1">
      <alignment vertical="center" wrapText="1"/>
    </xf>
    <xf numFmtId="14" fontId="26" fillId="0" borderId="28" xfId="0" applyNumberFormat="1" applyFont="1" applyBorder="1" applyAlignment="1">
      <alignment horizontal="center" vertical="center" wrapText="1"/>
    </xf>
    <xf numFmtId="0" fontId="26" fillId="0" borderId="28" xfId="0" applyFont="1" applyBorder="1" applyAlignment="1">
      <alignment horizontal="center" vertical="center" wrapText="1"/>
    </xf>
    <xf numFmtId="9" fontId="26" fillId="0" borderId="21" xfId="0" applyNumberFormat="1" applyFont="1" applyBorder="1" applyAlignment="1">
      <alignment horizontal="center" vertical="center" wrapText="1"/>
    </xf>
    <xf numFmtId="0" fontId="26" fillId="3" borderId="21" xfId="0" applyFont="1" applyFill="1" applyBorder="1" applyAlignment="1">
      <alignment horizontal="center" vertical="center" wrapText="1"/>
    </xf>
    <xf numFmtId="9" fontId="26" fillId="0" borderId="18" xfId="0" applyNumberFormat="1" applyFont="1" applyBorder="1" applyAlignment="1">
      <alignment horizontal="center" vertical="center" wrapText="1"/>
    </xf>
    <xf numFmtId="0" fontId="23" fillId="0" borderId="20" xfId="0" applyFont="1" applyBorder="1" applyAlignment="1">
      <alignment horizontal="center" vertical="center" wrapText="1"/>
    </xf>
    <xf numFmtId="0" fontId="25" fillId="4" borderId="29" xfId="0" applyFont="1" applyFill="1" applyBorder="1" applyAlignment="1">
      <alignment horizontal="center" vertical="center" wrapText="1"/>
    </xf>
    <xf numFmtId="0" fontId="25" fillId="4" borderId="30" xfId="0" applyFont="1" applyFill="1" applyBorder="1" applyAlignment="1">
      <alignment horizontal="left" vertical="center"/>
    </xf>
    <xf numFmtId="0" fontId="26" fillId="4" borderId="30" xfId="0" applyFont="1" applyFill="1" applyBorder="1" applyAlignment="1">
      <alignment horizontal="center" vertical="center" wrapText="1"/>
    </xf>
    <xf numFmtId="0" fontId="26" fillId="4" borderId="31" xfId="0" applyFont="1" applyFill="1" applyBorder="1" applyAlignment="1">
      <alignment horizontal="left" vertical="center" wrapText="1"/>
    </xf>
    <xf numFmtId="0" fontId="25" fillId="4" borderId="30" xfId="0" applyFont="1" applyFill="1" applyBorder="1" applyAlignment="1">
      <alignment vertical="center" wrapText="1"/>
    </xf>
    <xf numFmtId="0" fontId="25" fillId="4" borderId="30" xfId="0" applyFont="1" applyFill="1" applyBorder="1" applyAlignment="1">
      <alignment horizontal="center" vertical="center" wrapText="1"/>
    </xf>
    <xf numFmtId="2" fontId="25" fillId="4" borderId="30" xfId="0" applyNumberFormat="1" applyFont="1" applyFill="1" applyBorder="1" applyAlignment="1">
      <alignment horizontal="center" vertical="center" wrapText="1"/>
    </xf>
    <xf numFmtId="0" fontId="25" fillId="4" borderId="31" xfId="0" applyFont="1" applyFill="1" applyBorder="1" applyAlignment="1">
      <alignment horizontal="left" vertical="center" wrapText="1"/>
    </xf>
    <xf numFmtId="0" fontId="26" fillId="0" borderId="29" xfId="0" applyFont="1" applyBorder="1" applyAlignment="1">
      <alignment horizontal="center" vertical="center" wrapText="1"/>
    </xf>
    <xf numFmtId="0" fontId="26" fillId="0" borderId="30" xfId="0" applyFont="1" applyBorder="1" applyAlignment="1">
      <alignment horizontal="center" vertical="center" wrapText="1"/>
    </xf>
    <xf numFmtId="2" fontId="26" fillId="0" borderId="28" xfId="0" applyNumberFormat="1" applyFont="1" applyBorder="1" applyAlignment="1">
      <alignment horizontal="center" vertical="center" wrapText="1"/>
    </xf>
    <xf numFmtId="0" fontId="32" fillId="0" borderId="32" xfId="0" applyFont="1" applyBorder="1" applyAlignment="1">
      <alignment horizontal="center" vertical="center" wrapText="1"/>
    </xf>
    <xf numFmtId="0" fontId="32" fillId="0" borderId="33" xfId="0" applyFont="1" applyBorder="1" applyAlignment="1">
      <alignment horizontal="center" vertical="center" wrapText="1"/>
    </xf>
    <xf numFmtId="0" fontId="32" fillId="0" borderId="34" xfId="0" applyFont="1" applyBorder="1" applyAlignment="1">
      <alignment horizontal="center" vertical="center" wrapText="1"/>
    </xf>
    <xf numFmtId="0" fontId="25" fillId="4" borderId="30" xfId="0" applyFont="1" applyFill="1" applyBorder="1" applyAlignment="1">
      <alignment horizontal="left" vertical="center" wrapText="1"/>
    </xf>
    <xf numFmtId="16" fontId="26" fillId="0" borderId="21" xfId="0" quotePrefix="1" applyNumberFormat="1" applyFont="1" applyBorder="1" applyAlignment="1">
      <alignment horizontal="center" vertical="center" wrapText="1"/>
    </xf>
    <xf numFmtId="9" fontId="26" fillId="0" borderId="28" xfId="0" applyNumberFormat="1" applyFont="1" applyBorder="1" applyAlignment="1">
      <alignment horizontal="center" vertical="center" wrapText="1"/>
    </xf>
    <xf numFmtId="167" fontId="26" fillId="0" borderId="28" xfId="1" applyNumberFormat="1" applyFont="1" applyFill="1" applyBorder="1" applyAlignment="1">
      <alignment horizontal="center" vertical="center" wrapText="1"/>
    </xf>
    <xf numFmtId="167" fontId="26" fillId="0" borderId="28" xfId="0" applyNumberFormat="1" applyFont="1" applyBorder="1" applyAlignment="1">
      <alignment horizontal="center" vertical="center" wrapText="1"/>
    </xf>
    <xf numFmtId="167" fontId="26" fillId="0" borderId="28" xfId="1" applyNumberFormat="1" applyFont="1" applyBorder="1" applyAlignment="1">
      <alignment horizontal="center" vertical="center" wrapText="1"/>
    </xf>
    <xf numFmtId="0" fontId="26" fillId="0" borderId="35" xfId="0" applyFont="1" applyBorder="1" applyAlignment="1">
      <alignment horizontal="left" vertical="center" wrapText="1"/>
    </xf>
    <xf numFmtId="2" fontId="23" fillId="3" borderId="13" xfId="0" applyNumberFormat="1" applyFont="1" applyFill="1" applyBorder="1"/>
    <xf numFmtId="0" fontId="23" fillId="3" borderId="13" xfId="12" applyNumberFormat="1" applyFont="1" applyFill="1" applyBorder="1"/>
    <xf numFmtId="9" fontId="23" fillId="3" borderId="13" xfId="12" applyFont="1" applyFill="1" applyBorder="1"/>
    <xf numFmtId="0" fontId="38" fillId="4" borderId="29" xfId="0" applyFont="1" applyFill="1" applyBorder="1" applyAlignment="1">
      <alignment horizontal="center" vertical="center" wrapText="1"/>
    </xf>
    <xf numFmtId="0" fontId="38" fillId="4" borderId="30" xfId="0" applyFont="1" applyFill="1" applyBorder="1" applyAlignment="1">
      <alignment horizontal="left" vertical="center" wrapText="1"/>
    </xf>
    <xf numFmtId="0" fontId="32" fillId="4" borderId="30" xfId="0" applyFont="1" applyFill="1" applyBorder="1" applyAlignment="1">
      <alignment vertical="center" wrapText="1"/>
    </xf>
    <xf numFmtId="0" fontId="32" fillId="4" borderId="30" xfId="0" applyFont="1" applyFill="1" applyBorder="1" applyAlignment="1">
      <alignment horizontal="center" vertical="center" wrapText="1"/>
    </xf>
    <xf numFmtId="0" fontId="32" fillId="4" borderId="31" xfId="0" applyFont="1" applyFill="1" applyBorder="1" applyAlignment="1">
      <alignment horizontal="center" vertical="center" wrapText="1"/>
    </xf>
    <xf numFmtId="0" fontId="39" fillId="0" borderId="0" xfId="0" applyFont="1"/>
    <xf numFmtId="0" fontId="38" fillId="4" borderId="36" xfId="0" applyFont="1" applyFill="1" applyBorder="1" applyAlignment="1">
      <alignment horizontal="center" vertical="center" wrapText="1"/>
    </xf>
    <xf numFmtId="0" fontId="38" fillId="4" borderId="37" xfId="0" applyFont="1" applyFill="1" applyBorder="1" applyAlignment="1">
      <alignment horizontal="left" vertical="center" wrapText="1"/>
    </xf>
    <xf numFmtId="0" fontId="32" fillId="4" borderId="37" xfId="0" applyFont="1" applyFill="1" applyBorder="1" applyAlignment="1">
      <alignment vertical="center" wrapText="1"/>
    </xf>
    <xf numFmtId="0" fontId="32" fillId="4" borderId="37" xfId="0" applyFont="1" applyFill="1" applyBorder="1" applyAlignment="1">
      <alignment horizontal="center" vertical="center" wrapText="1"/>
    </xf>
    <xf numFmtId="0" fontId="32" fillId="4" borderId="38" xfId="0" applyFont="1" applyFill="1" applyBorder="1" applyAlignment="1">
      <alignment horizontal="left" vertical="center" wrapText="1"/>
    </xf>
    <xf numFmtId="0" fontId="38" fillId="0" borderId="24" xfId="0" applyFont="1" applyBorder="1" applyAlignment="1">
      <alignment horizontal="center" vertical="center" wrapText="1"/>
    </xf>
    <xf numFmtId="0" fontId="37" fillId="0" borderId="0" xfId="0" applyFont="1" applyAlignment="1">
      <alignment horizontal="center" vertical="center"/>
    </xf>
    <xf numFmtId="0" fontId="26" fillId="0" borderId="15" xfId="0" applyFont="1" applyBorder="1" applyAlignment="1">
      <alignment horizontal="left" vertical="center" wrapText="1"/>
    </xf>
    <xf numFmtId="0" fontId="24" fillId="0" borderId="30" xfId="0" applyFont="1" applyBorder="1" applyAlignment="1">
      <alignment horizontal="center" vertical="center" textRotation="90" wrapText="1"/>
    </xf>
    <xf numFmtId="0" fontId="24" fillId="0" borderId="30" xfId="0" applyFont="1" applyBorder="1" applyAlignment="1">
      <alignment horizontal="center" vertical="center" wrapText="1"/>
    </xf>
    <xf numFmtId="0" fontId="24" fillId="2" borderId="30" xfId="0" applyFont="1" applyFill="1" applyBorder="1" applyAlignment="1">
      <alignment horizontal="center" vertical="center" wrapText="1"/>
    </xf>
    <xf numFmtId="0" fontId="24" fillId="2" borderId="30" xfId="0" applyFont="1" applyFill="1" applyBorder="1" applyAlignment="1">
      <alignment horizontal="center" vertical="center" textRotation="90" wrapText="1"/>
    </xf>
    <xf numFmtId="0" fontId="41" fillId="0" borderId="0" xfId="0" applyFont="1"/>
    <xf numFmtId="0" fontId="42" fillId="0" borderId="30" xfId="0" applyFont="1" applyBorder="1" applyAlignment="1">
      <alignment horizontal="center" vertical="center" wrapText="1"/>
    </xf>
    <xf numFmtId="0" fontId="43" fillId="0" borderId="33" xfId="0" applyFont="1" applyBorder="1" applyAlignment="1">
      <alignment horizontal="center" vertical="center" wrapText="1"/>
    </xf>
    <xf numFmtId="0" fontId="44" fillId="4" borderId="30" xfId="0" applyFont="1" applyFill="1" applyBorder="1" applyAlignment="1">
      <alignment horizontal="center" vertical="center" wrapText="1"/>
    </xf>
    <xf numFmtId="167" fontId="41" fillId="0" borderId="21" xfId="0" applyNumberFormat="1" applyFont="1" applyBorder="1" applyAlignment="1">
      <alignment horizontal="center" vertical="center" wrapText="1"/>
    </xf>
    <xf numFmtId="0" fontId="41" fillId="0" borderId="15" xfId="0" applyFont="1" applyBorder="1" applyAlignment="1">
      <alignment horizontal="center" vertical="center" wrapText="1"/>
    </xf>
    <xf numFmtId="0" fontId="41" fillId="0" borderId="18" xfId="0" applyFont="1" applyBorder="1" applyAlignment="1">
      <alignment horizontal="center" vertical="center" wrapText="1"/>
    </xf>
    <xf numFmtId="167" fontId="41" fillId="0" borderId="15" xfId="0" applyNumberFormat="1" applyFont="1" applyBorder="1" applyAlignment="1">
      <alignment horizontal="center" vertical="center" wrapText="1"/>
    </xf>
    <xf numFmtId="0" fontId="44" fillId="4" borderId="37" xfId="0" applyFont="1" applyFill="1" applyBorder="1" applyAlignment="1">
      <alignment horizontal="center" vertical="center" wrapText="1"/>
    </xf>
    <xf numFmtId="0" fontId="41" fillId="0" borderId="13" xfId="0" applyFont="1" applyBorder="1" applyAlignment="1">
      <alignment horizontal="center" vertical="center" wrapText="1"/>
    </xf>
    <xf numFmtId="167" fontId="41" fillId="0" borderId="24" xfId="0" applyNumberFormat="1" applyFont="1" applyBorder="1" applyAlignment="1">
      <alignment horizontal="center" vertical="center" wrapText="1"/>
    </xf>
    <xf numFmtId="0" fontId="41" fillId="4" borderId="30" xfId="0" applyFont="1" applyFill="1" applyBorder="1" applyAlignment="1">
      <alignment horizontal="center" vertical="center" wrapText="1"/>
    </xf>
    <xf numFmtId="167" fontId="41" fillId="0" borderId="28" xfId="0" applyNumberFormat="1" applyFont="1" applyBorder="1" applyAlignment="1">
      <alignment horizontal="center" vertical="center" wrapText="1"/>
    </xf>
    <xf numFmtId="167" fontId="41" fillId="0" borderId="13" xfId="0" applyNumberFormat="1" applyFont="1" applyBorder="1" applyAlignment="1">
      <alignment horizontal="center" vertical="center" wrapText="1"/>
    </xf>
    <xf numFmtId="167" fontId="45" fillId="0" borderId="13" xfId="0" applyNumberFormat="1" applyFont="1" applyBorder="1" applyAlignment="1">
      <alignment horizontal="center" vertical="center" wrapText="1"/>
    </xf>
    <xf numFmtId="167" fontId="43" fillId="0" borderId="24" xfId="0" applyNumberFormat="1" applyFont="1" applyBorder="1" applyAlignment="1">
      <alignment horizontal="center" vertical="center" wrapText="1"/>
    </xf>
    <xf numFmtId="167" fontId="46" fillId="0" borderId="21" xfId="0" applyNumberFormat="1" applyFont="1" applyBorder="1" applyAlignment="1">
      <alignment horizontal="center" vertical="center" wrapText="1"/>
    </xf>
    <xf numFmtId="0" fontId="46" fillId="0" borderId="15" xfId="0" applyFont="1" applyBorder="1" applyAlignment="1">
      <alignment horizontal="center" vertical="center" wrapText="1"/>
    </xf>
    <xf numFmtId="0" fontId="46" fillId="0" borderId="18" xfId="0" applyFont="1" applyBorder="1" applyAlignment="1">
      <alignment horizontal="center" vertical="center" wrapText="1"/>
    </xf>
    <xf numFmtId="167" fontId="46" fillId="0" borderId="15" xfId="0" applyNumberFormat="1" applyFont="1" applyBorder="1" applyAlignment="1">
      <alignment horizontal="center" vertical="center" wrapText="1"/>
    </xf>
    <xf numFmtId="0" fontId="26" fillId="0" borderId="22" xfId="0" applyFont="1" applyBorder="1" applyAlignment="1">
      <alignment vertical="center" wrapText="1"/>
    </xf>
    <xf numFmtId="0" fontId="26" fillId="0" borderId="16" xfId="0" applyFont="1" applyBorder="1" applyAlignment="1">
      <alignment vertical="center" wrapText="1"/>
    </xf>
    <xf numFmtId="0" fontId="26" fillId="0" borderId="19" xfId="0" applyFont="1" applyBorder="1" applyAlignment="1">
      <alignment vertical="center" wrapText="1"/>
    </xf>
    <xf numFmtId="0" fontId="27" fillId="0" borderId="0" xfId="0" applyFont="1" applyAlignment="1">
      <alignment horizontal="left"/>
    </xf>
    <xf numFmtId="0" fontId="26" fillId="4" borderId="30" xfId="0" applyFont="1" applyFill="1" applyBorder="1" applyAlignment="1">
      <alignment horizontal="left" vertical="center" wrapText="1"/>
    </xf>
    <xf numFmtId="0" fontId="26" fillId="0" borderId="21" xfId="0" applyFont="1" applyBorder="1" applyAlignment="1">
      <alignment horizontal="left" vertical="center" wrapText="1"/>
    </xf>
    <xf numFmtId="0" fontId="26" fillId="0" borderId="28" xfId="0" applyFont="1" applyBorder="1" applyAlignment="1">
      <alignment horizontal="left" vertical="center" wrapText="1"/>
    </xf>
    <xf numFmtId="0" fontId="26" fillId="0" borderId="13" xfId="0" applyFont="1" applyBorder="1" applyAlignment="1">
      <alignment horizontal="left" vertical="center" wrapText="1"/>
    </xf>
    <xf numFmtId="0" fontId="36" fillId="0" borderId="24" xfId="0" applyFont="1" applyBorder="1" applyAlignment="1">
      <alignment horizontal="left" vertical="center" wrapText="1"/>
    </xf>
    <xf numFmtId="0" fontId="2" fillId="0" borderId="0" xfId="0" applyFont="1" applyAlignment="1">
      <alignment horizontal="left" vertical="center"/>
    </xf>
    <xf numFmtId="0" fontId="52" fillId="0" borderId="0" xfId="0" applyFont="1"/>
    <xf numFmtId="0" fontId="53" fillId="0" borderId="0" xfId="0" applyFont="1"/>
    <xf numFmtId="0" fontId="48" fillId="0" borderId="15" xfId="0" applyFont="1" applyBorder="1" applyAlignment="1">
      <alignment horizontal="center" vertical="center" wrapText="1"/>
    </xf>
    <xf numFmtId="0" fontId="48" fillId="0" borderId="16" xfId="0" applyFont="1" applyBorder="1" applyAlignment="1">
      <alignment horizontal="left" vertical="center" wrapText="1"/>
    </xf>
    <xf numFmtId="167" fontId="36" fillId="0" borderId="15" xfId="0" applyNumberFormat="1" applyFont="1" applyBorder="1" applyAlignment="1">
      <alignment horizontal="center" vertical="center" wrapText="1"/>
    </xf>
    <xf numFmtId="0" fontId="49" fillId="0" borderId="30" xfId="0" applyFont="1" applyBorder="1" applyAlignment="1">
      <alignment horizontal="center" vertical="center" wrapText="1"/>
    </xf>
    <xf numFmtId="0" fontId="48" fillId="0" borderId="30" xfId="0" applyFont="1" applyBorder="1" applyAlignment="1">
      <alignment horizontal="center" vertical="center" wrapText="1"/>
    </xf>
    <xf numFmtId="168" fontId="26" fillId="0" borderId="21" xfId="0" applyNumberFormat="1" applyFont="1" applyBorder="1" applyAlignment="1">
      <alignment horizontal="center" vertical="center" wrapText="1"/>
    </xf>
    <xf numFmtId="165" fontId="26" fillId="0" borderId="21" xfId="0" applyNumberFormat="1" applyFont="1" applyBorder="1" applyAlignment="1">
      <alignment horizontal="center" vertical="center" wrapText="1"/>
    </xf>
    <xf numFmtId="165" fontId="26" fillId="0" borderId="15" xfId="0" applyNumberFormat="1" applyFont="1" applyBorder="1" applyAlignment="1">
      <alignment horizontal="center" vertical="center" wrapText="1"/>
    </xf>
    <xf numFmtId="165" fontId="26" fillId="0" borderId="28" xfId="0" applyNumberFormat="1" applyFont="1" applyBorder="1" applyAlignment="1">
      <alignment horizontal="center" vertical="center" wrapText="1"/>
    </xf>
    <xf numFmtId="165" fontId="50" fillId="0" borderId="15" xfId="0" applyNumberFormat="1" applyFont="1" applyBorder="1" applyAlignment="1">
      <alignment horizontal="center" vertical="center" wrapText="1"/>
    </xf>
    <xf numFmtId="0" fontId="6" fillId="0" borderId="0" xfId="0" quotePrefix="1" applyFont="1" applyAlignment="1">
      <alignment vertical="center"/>
    </xf>
    <xf numFmtId="167" fontId="41" fillId="0" borderId="18" xfId="0" applyNumberFormat="1" applyFont="1" applyBorder="1" applyAlignment="1">
      <alignment horizontal="center" vertical="center" wrapText="1"/>
    </xf>
    <xf numFmtId="0" fontId="25" fillId="6" borderId="32" xfId="0" applyFont="1" applyFill="1" applyBorder="1" applyAlignment="1">
      <alignment horizontal="center" vertical="center" wrapText="1"/>
    </xf>
    <xf numFmtId="0" fontId="25" fillId="6" borderId="33" xfId="0" applyFont="1" applyFill="1" applyBorder="1" applyAlignment="1">
      <alignment horizontal="left" vertical="center" wrapText="1"/>
    </xf>
    <xf numFmtId="0" fontId="26" fillId="6" borderId="33" xfId="0" applyFont="1" applyFill="1" applyBorder="1" applyAlignment="1">
      <alignment horizontal="center" vertical="center" wrapText="1"/>
    </xf>
    <xf numFmtId="0" fontId="26" fillId="6" borderId="33" xfId="0" applyFont="1" applyFill="1" applyBorder="1" applyAlignment="1">
      <alignment horizontal="left" vertical="center" wrapText="1"/>
    </xf>
    <xf numFmtId="0" fontId="26" fillId="6" borderId="34" xfId="0" applyFont="1" applyFill="1" applyBorder="1" applyAlignment="1">
      <alignment horizontal="center" vertical="center" wrapText="1"/>
    </xf>
    <xf numFmtId="0" fontId="0" fillId="6" borderId="0" xfId="0" applyFill="1"/>
    <xf numFmtId="0" fontId="24" fillId="0" borderId="39" xfId="0" applyFont="1" applyBorder="1" applyAlignment="1">
      <alignment horizontal="center" vertical="center" textRotation="90" wrapText="1"/>
    </xf>
    <xf numFmtId="0" fontId="24" fillId="0" borderId="39" xfId="0" applyFont="1" applyBorder="1" applyAlignment="1">
      <alignment horizontal="center" vertical="center" wrapText="1"/>
    </xf>
    <xf numFmtId="0" fontId="51" fillId="0" borderId="39" xfId="0" applyFont="1" applyBorder="1" applyAlignment="1">
      <alignment horizontal="center" vertical="center" wrapText="1"/>
    </xf>
    <xf numFmtId="0" fontId="42" fillId="0" borderId="39" xfId="0" applyFont="1" applyBorder="1" applyAlignment="1">
      <alignment horizontal="center" vertical="center" wrapText="1"/>
    </xf>
    <xf numFmtId="0" fontId="26" fillId="0" borderId="39" xfId="0" applyFont="1" applyBorder="1" applyAlignment="1">
      <alignment horizontal="center" vertical="center" wrapText="1"/>
    </xf>
    <xf numFmtId="0" fontId="26" fillId="0" borderId="30" xfId="0" applyFont="1" applyBorder="1" applyAlignment="1">
      <alignment horizontal="left" vertical="center" wrapText="1"/>
    </xf>
    <xf numFmtId="0" fontId="23" fillId="0" borderId="30" xfId="0" applyFont="1" applyBorder="1" applyAlignment="1">
      <alignment horizontal="center" vertical="center" wrapText="1"/>
    </xf>
    <xf numFmtId="0" fontId="26" fillId="0" borderId="31" xfId="0" applyFont="1" applyBorder="1" applyAlignment="1">
      <alignment horizontal="center" vertical="center" wrapText="1"/>
    </xf>
    <xf numFmtId="167" fontId="41" fillId="6" borderId="33" xfId="0" applyNumberFormat="1" applyFont="1" applyFill="1" applyBorder="1" applyAlignment="1">
      <alignment horizontal="center" vertical="center" wrapText="1"/>
    </xf>
    <xf numFmtId="167" fontId="45" fillId="6" borderId="33" xfId="0" applyNumberFormat="1" applyFont="1" applyFill="1" applyBorder="1" applyAlignment="1">
      <alignment horizontal="center" vertical="center" wrapText="1"/>
    </xf>
    <xf numFmtId="0" fontId="25" fillId="4" borderId="40" xfId="0" applyFont="1" applyFill="1" applyBorder="1" applyAlignment="1">
      <alignment vertical="center" wrapText="1"/>
    </xf>
    <xf numFmtId="0" fontId="25" fillId="6" borderId="41" xfId="0" applyFont="1" applyFill="1" applyBorder="1" applyAlignment="1">
      <alignment vertical="center" wrapText="1"/>
    </xf>
    <xf numFmtId="0" fontId="25" fillId="6" borderId="30" xfId="0" applyFont="1" applyFill="1" applyBorder="1" applyAlignment="1">
      <alignment vertical="center" wrapText="1"/>
    </xf>
    <xf numFmtId="0" fontId="25" fillId="6" borderId="30" xfId="0" applyFont="1" applyFill="1" applyBorder="1" applyAlignment="1">
      <alignment horizontal="center" vertical="center" wrapText="1"/>
    </xf>
    <xf numFmtId="0" fontId="25" fillId="6" borderId="30" xfId="0" applyFont="1" applyFill="1" applyBorder="1" applyAlignment="1">
      <alignment horizontal="left" vertical="center" wrapText="1"/>
    </xf>
    <xf numFmtId="0" fontId="26" fillId="6" borderId="30" xfId="0" applyFont="1" applyFill="1" applyBorder="1" applyAlignment="1">
      <alignment horizontal="center" vertical="center" wrapText="1"/>
    </xf>
    <xf numFmtId="0" fontId="26" fillId="6" borderId="30" xfId="0" applyFont="1" applyFill="1" applyBorder="1" applyAlignment="1">
      <alignment horizontal="left" vertical="center" wrapText="1"/>
    </xf>
    <xf numFmtId="167" fontId="41" fillId="6" borderId="30" xfId="0" applyNumberFormat="1" applyFont="1" applyFill="1" applyBorder="1" applyAlignment="1">
      <alignment horizontal="center" vertical="center" wrapText="1"/>
    </xf>
    <xf numFmtId="167" fontId="45" fillId="6" borderId="30" xfId="0" applyNumberFormat="1" applyFont="1" applyFill="1" applyBorder="1" applyAlignment="1">
      <alignment horizontal="center" vertical="center" wrapText="1"/>
    </xf>
    <xf numFmtId="167" fontId="48" fillId="0" borderId="15" xfId="0" applyNumberFormat="1" applyFont="1" applyBorder="1" applyAlignment="1">
      <alignment horizontal="center" vertical="center" wrapText="1"/>
    </xf>
    <xf numFmtId="0" fontId="36" fillId="0" borderId="0" xfId="0" applyFont="1" applyAlignment="1">
      <alignment horizontal="right" vertical="center"/>
    </xf>
    <xf numFmtId="0" fontId="48" fillId="0" borderId="29" xfId="0" applyFont="1" applyBorder="1" applyAlignment="1">
      <alignment horizontal="center" vertical="center" wrapText="1"/>
    </xf>
    <xf numFmtId="0" fontId="48" fillId="0" borderId="31" xfId="0" applyFont="1" applyBorder="1" applyAlignment="1">
      <alignment horizontal="center" vertical="center" wrapText="1"/>
    </xf>
    <xf numFmtId="0" fontId="37" fillId="0" borderId="0" xfId="0" applyFont="1" applyAlignment="1">
      <alignment vertical="center"/>
    </xf>
    <xf numFmtId="14" fontId="26" fillId="0" borderId="30" xfId="0" applyNumberFormat="1" applyFont="1" applyBorder="1" applyAlignment="1">
      <alignment horizontal="center" vertical="center" wrapText="1"/>
    </xf>
    <xf numFmtId="2" fontId="26" fillId="0" borderId="30" xfId="0" applyNumberFormat="1" applyFont="1" applyBorder="1" applyAlignment="1">
      <alignment horizontal="center" vertical="center" wrapText="1"/>
    </xf>
    <xf numFmtId="9" fontId="26" fillId="0" borderId="30" xfId="0" applyNumberFormat="1" applyFont="1" applyBorder="1" applyAlignment="1">
      <alignment horizontal="center" vertical="center" wrapText="1"/>
    </xf>
    <xf numFmtId="14" fontId="23" fillId="0" borderId="15" xfId="0" applyNumberFormat="1" applyFont="1" applyBorder="1" applyAlignment="1">
      <alignment horizontal="center" vertical="center" wrapText="1"/>
    </xf>
    <xf numFmtId="0" fontId="26" fillId="7" borderId="21" xfId="0" applyFont="1" applyFill="1" applyBorder="1" applyAlignment="1">
      <alignment vertical="center" wrapText="1"/>
    </xf>
    <xf numFmtId="0" fontId="26" fillId="7" borderId="15" xfId="0" applyFont="1" applyFill="1" applyBorder="1" applyAlignment="1">
      <alignment vertical="center" wrapText="1"/>
    </xf>
    <xf numFmtId="0" fontId="26" fillId="7" borderId="18" xfId="0" applyFont="1" applyFill="1" applyBorder="1" applyAlignment="1">
      <alignment vertical="center" wrapText="1"/>
    </xf>
    <xf numFmtId="0" fontId="34" fillId="0" borderId="0" xfId="0" applyFont="1" applyAlignment="1">
      <alignment vertical="center"/>
    </xf>
    <xf numFmtId="0" fontId="53" fillId="0" borderId="0" xfId="0" applyFont="1" applyAlignment="1">
      <alignment vertical="center"/>
    </xf>
    <xf numFmtId="0" fontId="54" fillId="0" borderId="0" xfId="0" applyFont="1" applyAlignment="1">
      <alignment horizontal="center" vertical="center"/>
    </xf>
    <xf numFmtId="0" fontId="54" fillId="0" borderId="0" xfId="0" applyFont="1" applyAlignment="1">
      <alignment horizontal="left" vertical="center"/>
    </xf>
    <xf numFmtId="167" fontId="41" fillId="8" borderId="30" xfId="0" applyNumberFormat="1" applyFont="1" applyFill="1" applyBorder="1" applyAlignment="1">
      <alignment horizontal="center" vertical="center" wrapText="1"/>
    </xf>
    <xf numFmtId="0" fontId="25" fillId="8" borderId="30" xfId="0" applyFont="1" applyFill="1" applyBorder="1" applyAlignment="1">
      <alignment horizontal="left" vertical="center"/>
    </xf>
    <xf numFmtId="0" fontId="25" fillId="8" borderId="30" xfId="0" applyFont="1" applyFill="1" applyBorder="1" applyAlignment="1">
      <alignment vertical="center" wrapText="1"/>
    </xf>
    <xf numFmtId="0" fontId="26" fillId="8" borderId="30" xfId="0" applyFont="1" applyFill="1" applyBorder="1" applyAlignment="1">
      <alignment horizontal="center" vertical="center" wrapText="1"/>
    </xf>
    <xf numFmtId="167" fontId="41" fillId="8" borderId="42" xfId="0" applyNumberFormat="1" applyFont="1" applyFill="1" applyBorder="1" applyAlignment="1">
      <alignment horizontal="center" vertical="center" wrapText="1"/>
    </xf>
    <xf numFmtId="0" fontId="23" fillId="7" borderId="28" xfId="0" applyFont="1" applyFill="1" applyBorder="1" applyAlignment="1">
      <alignment vertical="center" wrapText="1"/>
    </xf>
    <xf numFmtId="0" fontId="47" fillId="0" borderId="0" xfId="0" applyFont="1" applyAlignment="1">
      <alignment horizontal="center" vertical="center"/>
    </xf>
    <xf numFmtId="0" fontId="24" fillId="0" borderId="43" xfId="0" applyFont="1" applyBorder="1" applyAlignment="1">
      <alignment horizontal="center" vertical="center" wrapText="1"/>
    </xf>
    <xf numFmtId="0" fontId="24" fillId="0" borderId="42" xfId="0" applyFont="1" applyBorder="1" applyAlignment="1">
      <alignment horizontal="center" vertical="center" wrapText="1"/>
    </xf>
    <xf numFmtId="0" fontId="32" fillId="0" borderId="30" xfId="0" applyFont="1" applyBorder="1" applyAlignment="1">
      <alignment horizontal="center" vertical="center" wrapText="1"/>
    </xf>
    <xf numFmtId="0" fontId="38" fillId="4" borderId="30" xfId="0" applyFont="1" applyFill="1" applyBorder="1" applyAlignment="1">
      <alignment vertical="center" wrapText="1"/>
    </xf>
    <xf numFmtId="167" fontId="44" fillId="4" borderId="30" xfId="0" applyNumberFormat="1" applyFont="1" applyFill="1" applyBorder="1" applyAlignment="1">
      <alignment horizontal="center" vertical="center" wrapText="1"/>
    </xf>
    <xf numFmtId="167" fontId="41" fillId="0" borderId="30" xfId="0" applyNumberFormat="1" applyFont="1" applyBorder="1" applyAlignment="1">
      <alignment horizontal="center" vertical="center" wrapText="1"/>
    </xf>
    <xf numFmtId="0" fontId="26" fillId="9" borderId="21" xfId="0" applyFont="1" applyFill="1" applyBorder="1" applyAlignment="1">
      <alignment vertical="center" wrapText="1"/>
    </xf>
    <xf numFmtId="0" fontId="38" fillId="0" borderId="30" xfId="0" applyFont="1" applyBorder="1" applyAlignment="1">
      <alignment horizontal="center" vertical="center" wrapText="1"/>
    </xf>
    <xf numFmtId="4" fontId="2" fillId="0" borderId="0" xfId="0" applyNumberFormat="1" applyFont="1" applyAlignment="1">
      <alignment horizontal="right" vertical="center"/>
    </xf>
    <xf numFmtId="2" fontId="2" fillId="0" borderId="0" xfId="0" applyNumberFormat="1" applyFont="1" applyAlignment="1">
      <alignment horizontal="right" vertical="center"/>
    </xf>
    <xf numFmtId="14" fontId="2" fillId="0" borderId="0" xfId="0" applyNumberFormat="1" applyFont="1" applyAlignment="1">
      <alignment horizontal="left" vertical="center"/>
    </xf>
    <xf numFmtId="0" fontId="56" fillId="0" borderId="0" xfId="0" applyFont="1"/>
    <xf numFmtId="0" fontId="58" fillId="0" borderId="0" xfId="0" applyFont="1" applyAlignment="1">
      <alignment horizontal="left" vertical="center"/>
    </xf>
    <xf numFmtId="0" fontId="59" fillId="0" borderId="0" xfId="0" applyFont="1" applyAlignment="1">
      <alignment horizontal="center" vertical="center"/>
    </xf>
    <xf numFmtId="4" fontId="58" fillId="0" borderId="0" xfId="0" applyNumberFormat="1" applyFont="1" applyAlignment="1">
      <alignment horizontal="right" vertical="center"/>
    </xf>
    <xf numFmtId="2" fontId="58" fillId="0" borderId="0" xfId="0" applyNumberFormat="1" applyFont="1" applyAlignment="1">
      <alignment horizontal="right" vertical="center"/>
    </xf>
    <xf numFmtId="14" fontId="58" fillId="0" borderId="0" xfId="0" applyNumberFormat="1" applyFont="1" applyAlignment="1">
      <alignment horizontal="left" vertical="center"/>
    </xf>
    <xf numFmtId="0" fontId="70" fillId="0" borderId="0" xfId="0" applyFont="1"/>
    <xf numFmtId="0" fontId="71" fillId="0" borderId="0" xfId="0" applyFont="1"/>
    <xf numFmtId="0" fontId="48" fillId="0" borderId="0" xfId="0" applyFont="1"/>
    <xf numFmtId="3" fontId="48" fillId="0" borderId="30" xfId="0" applyNumberFormat="1" applyFont="1" applyBorder="1" applyAlignment="1">
      <alignment horizontal="center" vertical="center" wrapText="1"/>
    </xf>
    <xf numFmtId="1" fontId="48" fillId="0" borderId="30" xfId="0" applyNumberFormat="1" applyFont="1" applyBorder="1" applyAlignment="1">
      <alignment horizontal="center" vertical="center" wrapText="1"/>
    </xf>
    <xf numFmtId="0" fontId="36" fillId="5" borderId="27" xfId="0" applyFont="1" applyFill="1" applyBorder="1" applyAlignment="1">
      <alignment horizontal="center" vertical="center" wrapText="1"/>
    </xf>
    <xf numFmtId="0" fontId="36" fillId="5" borderId="28" xfId="0" applyFont="1" applyFill="1" applyBorder="1" applyAlignment="1">
      <alignment horizontal="left" vertical="center" wrapText="1"/>
    </xf>
    <xf numFmtId="0" fontId="36" fillId="5" borderId="28" xfId="0" applyFont="1" applyFill="1" applyBorder="1" applyAlignment="1">
      <alignment vertical="center"/>
    </xf>
    <xf numFmtId="0" fontId="48" fillId="5" borderId="28" xfId="0" applyFont="1" applyFill="1" applyBorder="1" applyAlignment="1">
      <alignment horizontal="center" vertical="center" wrapText="1"/>
    </xf>
    <xf numFmtId="4" fontId="48" fillId="5" borderId="28" xfId="0" applyNumberFormat="1" applyFont="1" applyFill="1" applyBorder="1" applyAlignment="1">
      <alignment horizontal="right" vertical="center" wrapText="1"/>
    </xf>
    <xf numFmtId="2" fontId="48" fillId="5" borderId="28" xfId="0" applyNumberFormat="1" applyFont="1" applyFill="1" applyBorder="1" applyAlignment="1">
      <alignment horizontal="right" vertical="center" wrapText="1"/>
    </xf>
    <xf numFmtId="14" fontId="48" fillId="5" borderId="28" xfId="0" applyNumberFormat="1" applyFont="1" applyFill="1" applyBorder="1" applyAlignment="1">
      <alignment horizontal="center" vertical="center" wrapText="1"/>
    </xf>
    <xf numFmtId="167" fontId="36" fillId="5" borderId="28" xfId="0" applyNumberFormat="1" applyFont="1" applyFill="1" applyBorder="1" applyAlignment="1">
      <alignment horizontal="center" vertical="center" wrapText="1"/>
    </xf>
    <xf numFmtId="0" fontId="48" fillId="5" borderId="35" xfId="0" applyFont="1" applyFill="1" applyBorder="1" applyAlignment="1">
      <alignment horizontal="center" vertical="center" wrapText="1"/>
    </xf>
    <xf numFmtId="0" fontId="48" fillId="0" borderId="0" xfId="0" applyFont="1" applyAlignment="1">
      <alignment wrapText="1"/>
    </xf>
    <xf numFmtId="0" fontId="36" fillId="5" borderId="14" xfId="0" applyFont="1" applyFill="1" applyBorder="1" applyAlignment="1">
      <alignment horizontal="center" vertical="center" wrapText="1"/>
    </xf>
    <xf numFmtId="0" fontId="36" fillId="5" borderId="15" xfId="0" applyFont="1" applyFill="1" applyBorder="1" applyAlignment="1">
      <alignment horizontal="left" vertical="center" wrapText="1"/>
    </xf>
    <xf numFmtId="0" fontId="36" fillId="5" borderId="15" xfId="0" applyFont="1" applyFill="1" applyBorder="1" applyAlignment="1">
      <alignment vertical="center"/>
    </xf>
    <xf numFmtId="0" fontId="48" fillId="5" borderId="15" xfId="0" applyFont="1" applyFill="1" applyBorder="1" applyAlignment="1">
      <alignment horizontal="center" vertical="center" wrapText="1"/>
    </xf>
    <xf numFmtId="4" fontId="48" fillId="5" borderId="15" xfId="0" applyNumberFormat="1" applyFont="1" applyFill="1" applyBorder="1" applyAlignment="1">
      <alignment horizontal="right" vertical="center" wrapText="1"/>
    </xf>
    <xf numFmtId="2" fontId="48" fillId="5" borderId="15" xfId="0" applyNumberFormat="1" applyFont="1" applyFill="1" applyBorder="1" applyAlignment="1">
      <alignment horizontal="right" vertical="center" wrapText="1"/>
    </xf>
    <xf numFmtId="14" fontId="48" fillId="5" borderId="15" xfId="0" applyNumberFormat="1" applyFont="1" applyFill="1" applyBorder="1" applyAlignment="1">
      <alignment horizontal="center" vertical="center" wrapText="1"/>
    </xf>
    <xf numFmtId="167" fontId="36" fillId="5" borderId="15" xfId="0" applyNumberFormat="1" applyFont="1" applyFill="1" applyBorder="1" applyAlignment="1">
      <alignment horizontal="center" vertical="center" wrapText="1"/>
    </xf>
    <xf numFmtId="0" fontId="48" fillId="5" borderId="16" xfId="0" applyFont="1" applyFill="1" applyBorder="1" applyAlignment="1">
      <alignment horizontal="center" vertical="center" wrapText="1"/>
    </xf>
    <xf numFmtId="167" fontId="36" fillId="5" borderId="30" xfId="0" applyNumberFormat="1" applyFont="1" applyFill="1" applyBorder="1" applyAlignment="1">
      <alignment horizontal="center" vertical="center" wrapText="1"/>
    </xf>
    <xf numFmtId="0" fontId="50" fillId="0" borderId="0" xfId="0" applyFont="1" applyAlignment="1">
      <alignment vertical="center"/>
    </xf>
    <xf numFmtId="0" fontId="50" fillId="0" borderId="14" xfId="0" applyFont="1" applyBorder="1" applyAlignment="1">
      <alignment horizontal="center" vertical="center" wrapText="1"/>
    </xf>
    <xf numFmtId="0" fontId="13" fillId="7" borderId="15" xfId="0" applyFont="1" applyFill="1" applyBorder="1" applyAlignment="1">
      <alignment vertical="center" wrapText="1"/>
    </xf>
    <xf numFmtId="14" fontId="50" fillId="0" borderId="15" xfId="0" applyNumberFormat="1" applyFont="1" applyBorder="1" applyAlignment="1">
      <alignment horizontal="center" vertical="center" wrapText="1"/>
    </xf>
    <xf numFmtId="0" fontId="50" fillId="0" borderId="15" xfId="0" applyFont="1" applyBorder="1" applyAlignment="1">
      <alignment horizontal="center" vertical="center" wrapText="1"/>
    </xf>
    <xf numFmtId="0" fontId="50" fillId="0" borderId="15" xfId="0" applyFont="1" applyBorder="1" applyAlignment="1">
      <alignment horizontal="left" vertical="center" wrapText="1"/>
    </xf>
    <xf numFmtId="2" fontId="50" fillId="0" borderId="15" xfId="0" applyNumberFormat="1" applyFont="1" applyBorder="1" applyAlignment="1">
      <alignment horizontal="center" vertical="center" wrapText="1"/>
    </xf>
    <xf numFmtId="9" fontId="50" fillId="0" borderId="15" xfId="0" applyNumberFormat="1" applyFont="1" applyBorder="1" applyAlignment="1">
      <alignment horizontal="center" vertical="center" wrapText="1"/>
    </xf>
    <xf numFmtId="0" fontId="50" fillId="0" borderId="15" xfId="0" applyFont="1" applyBorder="1" applyAlignment="1">
      <alignment horizontal="center" vertical="center"/>
    </xf>
    <xf numFmtId="0" fontId="48" fillId="0" borderId="15" xfId="0" applyFont="1" applyBorder="1" applyAlignment="1">
      <alignment horizontal="center" vertical="center"/>
    </xf>
    <xf numFmtId="167" fontId="41" fillId="7" borderId="15" xfId="0" applyNumberFormat="1" applyFont="1" applyFill="1" applyBorder="1" applyAlignment="1">
      <alignment horizontal="center" vertical="center" wrapText="1"/>
    </xf>
    <xf numFmtId="167" fontId="43" fillId="7" borderId="15" xfId="0" applyNumberFormat="1" applyFont="1" applyFill="1" applyBorder="1" applyAlignment="1">
      <alignment horizontal="center" vertical="center" wrapText="1"/>
    </xf>
    <xf numFmtId="4" fontId="50" fillId="5" borderId="15" xfId="0" applyNumberFormat="1" applyFont="1" applyFill="1" applyBorder="1" applyAlignment="1">
      <alignment horizontal="right" vertical="center" wrapText="1"/>
    </xf>
    <xf numFmtId="2" fontId="50" fillId="5" borderId="15" xfId="0" applyNumberFormat="1" applyFont="1" applyFill="1" applyBorder="1" applyAlignment="1">
      <alignment horizontal="right" vertical="center" wrapText="1"/>
    </xf>
    <xf numFmtId="3" fontId="36" fillId="5" borderId="15" xfId="0" applyNumberFormat="1" applyFont="1" applyFill="1" applyBorder="1" applyAlignment="1">
      <alignment horizontal="center" vertical="center" wrapText="1"/>
    </xf>
    <xf numFmtId="3" fontId="36" fillId="5" borderId="15" xfId="0" applyNumberFormat="1" applyFont="1" applyFill="1" applyBorder="1" applyAlignment="1">
      <alignment horizontal="right" vertical="center" wrapText="1"/>
    </xf>
    <xf numFmtId="4" fontId="50" fillId="0" borderId="15" xfId="0" applyNumberFormat="1" applyFont="1" applyBorder="1" applyAlignment="1">
      <alignment horizontal="right" vertical="center" wrapText="1"/>
    </xf>
    <xf numFmtId="0" fontId="50" fillId="0" borderId="17" xfId="0" applyFont="1" applyBorder="1" applyAlignment="1">
      <alignment horizontal="center" vertical="center" wrapText="1"/>
    </xf>
    <xf numFmtId="0" fontId="13" fillId="7" borderId="18" xfId="0" applyFont="1" applyFill="1" applyBorder="1" applyAlignment="1">
      <alignment vertical="center" wrapText="1"/>
    </xf>
    <xf numFmtId="14" fontId="50" fillId="0" borderId="18" xfId="0" applyNumberFormat="1" applyFont="1" applyBorder="1" applyAlignment="1">
      <alignment horizontal="center" vertical="center" wrapText="1"/>
    </xf>
    <xf numFmtId="0" fontId="50" fillId="0" borderId="18" xfId="0" applyFont="1" applyBorder="1" applyAlignment="1">
      <alignment horizontal="center" vertical="center" wrapText="1"/>
    </xf>
    <xf numFmtId="0" fontId="50" fillId="0" borderId="18" xfId="0" applyFont="1" applyBorder="1" applyAlignment="1">
      <alignment horizontal="left" vertical="center" wrapText="1"/>
    </xf>
    <xf numFmtId="2" fontId="50" fillId="0" borderId="18" xfId="0" applyNumberFormat="1" applyFont="1" applyBorder="1" applyAlignment="1">
      <alignment horizontal="center" vertical="center" wrapText="1"/>
    </xf>
    <xf numFmtId="9" fontId="50" fillId="0" borderId="18" xfId="0" applyNumberFormat="1" applyFont="1" applyBorder="1" applyAlignment="1">
      <alignment horizontal="center" vertical="center" wrapText="1"/>
    </xf>
    <xf numFmtId="165" fontId="50" fillId="0" borderId="18" xfId="0" applyNumberFormat="1" applyFont="1" applyBorder="1" applyAlignment="1">
      <alignment horizontal="center" vertical="center" wrapText="1"/>
    </xf>
    <xf numFmtId="0" fontId="50" fillId="0" borderId="18" xfId="0" applyFont="1" applyBorder="1" applyAlignment="1">
      <alignment horizontal="center" vertical="center"/>
    </xf>
    <xf numFmtId="0" fontId="48" fillId="0" borderId="18" xfId="0" applyFont="1" applyBorder="1" applyAlignment="1">
      <alignment horizontal="center" vertical="center"/>
    </xf>
    <xf numFmtId="167" fontId="41" fillId="7" borderId="18" xfId="0" applyNumberFormat="1" applyFont="1" applyFill="1" applyBorder="1" applyAlignment="1">
      <alignment horizontal="center" vertical="center" wrapText="1"/>
    </xf>
    <xf numFmtId="0" fontId="48" fillId="0" borderId="19" xfId="0" applyFont="1" applyBorder="1" applyAlignment="1">
      <alignment horizontal="left" vertical="center" wrapText="1"/>
    </xf>
    <xf numFmtId="0" fontId="6" fillId="0" borderId="25" xfId="0" applyFont="1" applyBorder="1" applyAlignment="1">
      <alignment horizontal="center" vertical="center" wrapText="1"/>
    </xf>
    <xf numFmtId="0" fontId="29" fillId="0" borderId="24" xfId="0" applyFont="1" applyBorder="1" applyAlignment="1">
      <alignment horizontal="center" vertical="center" wrapText="1"/>
    </xf>
    <xf numFmtId="0" fontId="6" fillId="0" borderId="24" xfId="0" applyFont="1" applyBorder="1" applyAlignment="1">
      <alignment horizontal="center" vertical="center" wrapText="1"/>
    </xf>
    <xf numFmtId="4" fontId="6" fillId="0" borderId="24" xfId="0" applyNumberFormat="1" applyFont="1" applyBorder="1" applyAlignment="1">
      <alignment horizontal="right" vertical="center" wrapText="1"/>
    </xf>
    <xf numFmtId="2" fontId="6" fillId="0" borderId="24" xfId="0" applyNumberFormat="1" applyFont="1" applyBorder="1" applyAlignment="1">
      <alignment horizontal="right" vertical="center" wrapText="1"/>
    </xf>
    <xf numFmtId="14" fontId="6" fillId="0" borderId="24" xfId="0" applyNumberFormat="1" applyFont="1" applyBorder="1" applyAlignment="1">
      <alignment horizontal="center" vertical="center" wrapText="1"/>
    </xf>
    <xf numFmtId="167" fontId="36" fillId="0" borderId="24" xfId="0" applyNumberFormat="1" applyFont="1" applyBorder="1" applyAlignment="1">
      <alignment horizontal="center" vertical="center" wrapText="1"/>
    </xf>
    <xf numFmtId="0" fontId="6" fillId="0" borderId="26" xfId="0" applyFont="1" applyBorder="1" applyAlignment="1">
      <alignment horizontal="center" vertical="center" wrapText="1"/>
    </xf>
    <xf numFmtId="4" fontId="0" fillId="0" borderId="0" xfId="0" applyNumberFormat="1" applyAlignment="1">
      <alignment horizontal="right"/>
    </xf>
    <xf numFmtId="2" fontId="0" fillId="0" borderId="0" xfId="0" applyNumberFormat="1" applyAlignment="1">
      <alignment horizontal="right"/>
    </xf>
    <xf numFmtId="0" fontId="72" fillId="0" borderId="0" xfId="0" applyFont="1"/>
    <xf numFmtId="167" fontId="61" fillId="0" borderId="0" xfId="0" applyNumberFormat="1" applyFont="1"/>
    <xf numFmtId="0" fontId="28" fillId="0" borderId="30" xfId="0" applyFont="1" applyBorder="1" applyAlignment="1">
      <alignment horizontal="center" vertical="center" wrapText="1"/>
    </xf>
    <xf numFmtId="0" fontId="40" fillId="0" borderId="30" xfId="0" applyFont="1" applyBorder="1" applyAlignment="1">
      <alignment horizontal="center" vertical="center" wrapText="1"/>
    </xf>
    <xf numFmtId="167" fontId="48" fillId="0" borderId="0" xfId="0" applyNumberFormat="1" applyFont="1" applyAlignment="1">
      <alignment wrapText="1"/>
    </xf>
    <xf numFmtId="0" fontId="69" fillId="7" borderId="28" xfId="0" applyFont="1" applyFill="1" applyBorder="1" applyAlignment="1">
      <alignment vertical="center" wrapText="1"/>
    </xf>
    <xf numFmtId="14" fontId="26" fillId="7" borderId="28" xfId="0" applyNumberFormat="1" applyFont="1" applyFill="1" applyBorder="1" applyAlignment="1">
      <alignment horizontal="center" vertical="center" wrapText="1"/>
    </xf>
    <xf numFmtId="2" fontId="26" fillId="7" borderId="28" xfId="0" applyNumberFormat="1" applyFont="1" applyFill="1" applyBorder="1" applyAlignment="1">
      <alignment horizontal="center" vertical="center" wrapText="1"/>
    </xf>
    <xf numFmtId="0" fontId="55" fillId="0" borderId="0" xfId="0" applyFont="1" applyAlignment="1">
      <alignment horizontal="center" vertical="center"/>
    </xf>
    <xf numFmtId="0" fontId="49" fillId="0" borderId="44" xfId="0" applyFont="1" applyBorder="1" applyAlignment="1">
      <alignment horizontal="center" vertical="center" wrapText="1"/>
    </xf>
    <xf numFmtId="0" fontId="63" fillId="0" borderId="30" xfId="0" applyFont="1" applyBorder="1" applyAlignment="1">
      <alignment horizontal="center" vertical="center" wrapText="1"/>
    </xf>
    <xf numFmtId="167" fontId="48" fillId="0" borderId="0" xfId="0" applyNumberFormat="1" applyFont="1"/>
    <xf numFmtId="0" fontId="50" fillId="0" borderId="29" xfId="0" applyFont="1" applyBorder="1" applyAlignment="1">
      <alignment horizontal="center" vertical="center" wrapText="1"/>
    </xf>
    <xf numFmtId="0" fontId="13" fillId="7" borderId="30" xfId="0" applyFont="1" applyFill="1" applyBorder="1" applyAlignment="1">
      <alignment vertical="center" wrapText="1"/>
    </xf>
    <xf numFmtId="14" fontId="50" fillId="0" borderId="30" xfId="0" applyNumberFormat="1" applyFont="1" applyBorder="1" applyAlignment="1">
      <alignment horizontal="center" vertical="center" wrapText="1"/>
    </xf>
    <xf numFmtId="0" fontId="50" fillId="0" borderId="30" xfId="0" applyFont="1" applyBorder="1" applyAlignment="1">
      <alignment horizontal="center" vertical="center" wrapText="1"/>
    </xf>
    <xf numFmtId="0" fontId="50" fillId="0" borderId="30" xfId="0" applyFont="1" applyBorder="1" applyAlignment="1">
      <alignment horizontal="left" vertical="center" wrapText="1"/>
    </xf>
    <xf numFmtId="2" fontId="50" fillId="0" borderId="30" xfId="0" applyNumberFormat="1" applyFont="1" applyBorder="1" applyAlignment="1">
      <alignment horizontal="center" vertical="center" wrapText="1"/>
    </xf>
    <xf numFmtId="9" fontId="50" fillId="0" borderId="30" xfId="0" applyNumberFormat="1" applyFont="1" applyBorder="1" applyAlignment="1">
      <alignment horizontal="center" vertical="center" wrapText="1"/>
    </xf>
    <xf numFmtId="165" fontId="50" fillId="0" borderId="30" xfId="0" applyNumberFormat="1" applyFont="1" applyBorder="1" applyAlignment="1">
      <alignment horizontal="center" vertical="center" wrapText="1"/>
    </xf>
    <xf numFmtId="165" fontId="50" fillId="0" borderId="28" xfId="0" applyNumberFormat="1" applyFont="1" applyBorder="1" applyAlignment="1">
      <alignment horizontal="center" vertical="center" wrapText="1"/>
    </xf>
    <xf numFmtId="0" fontId="50" fillId="0" borderId="28" xfId="0" applyFont="1" applyBorder="1" applyAlignment="1">
      <alignment horizontal="center" vertical="center" wrapText="1"/>
    </xf>
    <xf numFmtId="14" fontId="50" fillId="0" borderId="28" xfId="0" applyNumberFormat="1" applyFont="1" applyBorder="1" applyAlignment="1">
      <alignment horizontal="center" vertical="center" wrapText="1"/>
    </xf>
    <xf numFmtId="0" fontId="50" fillId="0" borderId="30" xfId="0" applyFont="1" applyBorder="1" applyAlignment="1">
      <alignment horizontal="center" vertical="center"/>
    </xf>
    <xf numFmtId="0" fontId="48" fillId="0" borderId="30" xfId="0" applyFont="1" applyBorder="1" applyAlignment="1">
      <alignment horizontal="center" vertical="center"/>
    </xf>
    <xf numFmtId="167" fontId="41" fillId="7" borderId="28" xfId="0" applyNumberFormat="1" applyFont="1" applyFill="1" applyBorder="1" applyAlignment="1">
      <alignment horizontal="center" vertical="center" wrapText="1"/>
    </xf>
    <xf numFmtId="167" fontId="43" fillId="7" borderId="28" xfId="0" applyNumberFormat="1" applyFont="1" applyFill="1" applyBorder="1" applyAlignment="1">
      <alignment horizontal="center" vertical="center" wrapText="1"/>
    </xf>
    <xf numFmtId="0" fontId="48" fillId="0" borderId="31" xfId="0" applyFont="1" applyBorder="1" applyAlignment="1">
      <alignment horizontal="left" vertical="center" wrapText="1"/>
    </xf>
    <xf numFmtId="4" fontId="50" fillId="0" borderId="30" xfId="0" applyNumberFormat="1" applyFont="1" applyBorder="1" applyAlignment="1">
      <alignment horizontal="right" vertical="center" wrapText="1"/>
    </xf>
    <xf numFmtId="167" fontId="36" fillId="0" borderId="30" xfId="0" applyNumberFormat="1" applyFont="1" applyBorder="1" applyAlignment="1">
      <alignment horizontal="center" vertical="center" wrapText="1"/>
    </xf>
    <xf numFmtId="167" fontId="48" fillId="0" borderId="30" xfId="0" applyNumberFormat="1" applyFont="1" applyBorder="1" applyAlignment="1">
      <alignment horizontal="center" vertical="center" wrapText="1"/>
    </xf>
    <xf numFmtId="167" fontId="48" fillId="0" borderId="30" xfId="0" applyNumberFormat="1" applyFont="1" applyBorder="1" applyAlignment="1">
      <alignment vertical="center" wrapText="1"/>
    </xf>
    <xf numFmtId="4" fontId="48" fillId="0" borderId="30" xfId="0" applyNumberFormat="1" applyFont="1" applyBorder="1" applyAlignment="1">
      <alignment horizontal="right" vertical="center" wrapText="1"/>
    </xf>
    <xf numFmtId="165" fontId="48" fillId="0" borderId="30" xfId="0" applyNumberFormat="1" applyFont="1" applyBorder="1" applyAlignment="1">
      <alignment horizontal="right" vertical="center" wrapText="1"/>
    </xf>
    <xf numFmtId="14" fontId="48" fillId="0" borderId="30" xfId="0" applyNumberFormat="1" applyFont="1" applyBorder="1" applyAlignment="1">
      <alignment horizontal="center" vertical="center" wrapText="1"/>
    </xf>
    <xf numFmtId="14" fontId="26" fillId="7" borderId="21" xfId="0" applyNumberFormat="1" applyFont="1" applyFill="1" applyBorder="1" applyAlignment="1">
      <alignment horizontal="center" vertical="center" wrapText="1"/>
    </xf>
    <xf numFmtId="0" fontId="73" fillId="0" borderId="0" xfId="0" applyFont="1"/>
    <xf numFmtId="0" fontId="74" fillId="0" borderId="0" xfId="0" applyFont="1" applyAlignment="1">
      <alignment horizontal="left" vertical="center"/>
    </xf>
    <xf numFmtId="0" fontId="25" fillId="7" borderId="0" xfId="0" applyFont="1" applyFill="1" applyAlignment="1">
      <alignment horizontal="left" vertical="center"/>
    </xf>
    <xf numFmtId="0" fontId="75" fillId="0" borderId="0" xfId="0" applyFont="1" applyAlignment="1">
      <alignment horizontal="left" vertical="center"/>
    </xf>
    <xf numFmtId="0" fontId="54" fillId="7" borderId="0" xfId="0" applyFont="1" applyFill="1" applyAlignment="1">
      <alignment horizontal="left" vertical="center"/>
    </xf>
    <xf numFmtId="0" fontId="76" fillId="7" borderId="0" xfId="0" applyFont="1" applyFill="1"/>
    <xf numFmtId="0" fontId="76" fillId="0" borderId="0" xfId="0" applyFont="1"/>
    <xf numFmtId="0" fontId="65" fillId="0" borderId="39" xfId="0" applyFont="1" applyBorder="1" applyAlignment="1">
      <alignment horizontal="center" vertical="center" textRotation="90" wrapText="1"/>
    </xf>
    <xf numFmtId="0" fontId="65" fillId="0" borderId="39" xfId="0" applyFont="1" applyBorder="1" applyAlignment="1">
      <alignment horizontal="center" vertical="center" wrapText="1"/>
    </xf>
    <xf numFmtId="0" fontId="65" fillId="7" borderId="39" xfId="0" applyFont="1" applyFill="1" applyBorder="1" applyAlignment="1">
      <alignment horizontal="center" vertical="center" wrapText="1"/>
    </xf>
    <xf numFmtId="0" fontId="65" fillId="7" borderId="39" xfId="0" applyFont="1" applyFill="1" applyBorder="1" applyAlignment="1">
      <alignment horizontal="center" vertical="center" textRotation="90" wrapText="1"/>
    </xf>
    <xf numFmtId="0" fontId="66" fillId="0" borderId="39" xfId="0" applyFont="1" applyBorder="1" applyAlignment="1">
      <alignment horizontal="center" vertical="center" wrapText="1"/>
    </xf>
    <xf numFmtId="0" fontId="42" fillId="7" borderId="39" xfId="0" applyFont="1" applyFill="1" applyBorder="1" applyAlignment="1">
      <alignment horizontal="center" vertical="center" wrapText="1"/>
    </xf>
    <xf numFmtId="0" fontId="23" fillId="7" borderId="39" xfId="0" applyFont="1" applyFill="1" applyBorder="1" applyAlignment="1">
      <alignment horizontal="center" vertical="center" wrapText="1"/>
    </xf>
    <xf numFmtId="0" fontId="26" fillId="0" borderId="0" xfId="0" applyFont="1" applyAlignment="1">
      <alignment horizontal="center" vertical="center"/>
    </xf>
    <xf numFmtId="0" fontId="23" fillId="0" borderId="29" xfId="0" applyFont="1" applyBorder="1" applyAlignment="1">
      <alignment horizontal="center" vertical="center" wrapText="1"/>
    </xf>
    <xf numFmtId="0" fontId="23" fillId="7" borderId="30" xfId="0" applyFont="1" applyFill="1" applyBorder="1" applyAlignment="1">
      <alignment horizontal="center" vertical="center" wrapText="1"/>
    </xf>
    <xf numFmtId="0" fontId="76" fillId="0" borderId="0" xfId="0" applyFont="1" applyAlignment="1">
      <alignment horizontal="center"/>
    </xf>
    <xf numFmtId="0" fontId="25" fillId="8" borderId="29" xfId="0" applyFont="1" applyFill="1" applyBorder="1" applyAlignment="1">
      <alignment horizontal="center" vertical="center" wrapText="1"/>
    </xf>
    <xf numFmtId="0" fontId="77" fillId="8" borderId="30" xfId="0" applyFont="1" applyFill="1" applyBorder="1" applyAlignment="1">
      <alignment horizontal="center" vertical="center" wrapText="1"/>
    </xf>
    <xf numFmtId="0" fontId="77" fillId="8" borderId="30" xfId="0" applyFont="1" applyFill="1" applyBorder="1" applyAlignment="1">
      <alignment horizontal="left" vertical="center" wrapText="1"/>
    </xf>
    <xf numFmtId="0" fontId="77" fillId="0" borderId="28" xfId="0" applyFont="1" applyBorder="1" applyAlignment="1">
      <alignment horizontal="center" vertical="center" wrapText="1"/>
    </xf>
    <xf numFmtId="0" fontId="26" fillId="7" borderId="21" xfId="0" applyFont="1" applyFill="1" applyBorder="1" applyAlignment="1">
      <alignment horizontal="center" vertical="center" wrapText="1"/>
    </xf>
    <xf numFmtId="9" fontId="26" fillId="0" borderId="21" xfId="1" applyNumberFormat="1" applyFont="1" applyFill="1" applyBorder="1" applyAlignment="1">
      <alignment horizontal="center" vertical="center" wrapText="1"/>
    </xf>
    <xf numFmtId="9" fontId="26" fillId="7" borderId="21" xfId="0" applyNumberFormat="1" applyFont="1" applyFill="1" applyBorder="1" applyAlignment="1">
      <alignment horizontal="center" vertical="center" wrapText="1"/>
    </xf>
    <xf numFmtId="167" fontId="26" fillId="7" borderId="15" xfId="1" applyNumberFormat="1" applyFont="1" applyFill="1" applyBorder="1" applyAlignment="1">
      <alignment horizontal="center" vertical="center" wrapText="1"/>
    </xf>
    <xf numFmtId="0" fontId="68" fillId="0" borderId="0" xfId="0" applyFont="1"/>
    <xf numFmtId="0" fontId="77" fillId="0" borderId="15" xfId="0" applyFont="1" applyBorder="1" applyAlignment="1">
      <alignment vertical="center" wrapText="1"/>
    </xf>
    <xf numFmtId="0" fontId="77" fillId="0" borderId="15" xfId="0" applyFont="1" applyBorder="1" applyAlignment="1">
      <alignment horizontal="left" vertical="center" wrapText="1"/>
    </xf>
    <xf numFmtId="2" fontId="77" fillId="0" borderId="15" xfId="0" applyNumberFormat="1" applyFont="1" applyBorder="1" applyAlignment="1">
      <alignment horizontal="center" vertical="center" wrapText="1"/>
    </xf>
    <xf numFmtId="14" fontId="77" fillId="0" borderId="15" xfId="0" applyNumberFormat="1" applyFont="1" applyBorder="1" applyAlignment="1">
      <alignment horizontal="center" vertical="center" wrapText="1"/>
    </xf>
    <xf numFmtId="0" fontId="77" fillId="0" borderId="15" xfId="0" applyFont="1" applyBorder="1" applyAlignment="1">
      <alignment horizontal="center" vertical="center" wrapText="1"/>
    </xf>
    <xf numFmtId="9" fontId="77" fillId="0" borderId="15" xfId="0" applyNumberFormat="1" applyFont="1" applyBorder="1" applyAlignment="1">
      <alignment horizontal="center" vertical="center" wrapText="1"/>
    </xf>
    <xf numFmtId="0" fontId="25" fillId="0" borderId="17" xfId="0" applyFont="1" applyBorder="1" applyAlignment="1">
      <alignment horizontal="center" vertical="center" wrapText="1"/>
    </xf>
    <xf numFmtId="0" fontId="25" fillId="7" borderId="18" xfId="0" applyFont="1" applyFill="1" applyBorder="1" applyAlignment="1">
      <alignment vertical="center" wrapText="1"/>
    </xf>
    <xf numFmtId="0" fontId="25" fillId="0" borderId="18" xfId="0" applyFont="1" applyBorder="1" applyAlignment="1">
      <alignment horizontal="center" vertical="center" wrapText="1"/>
    </xf>
    <xf numFmtId="0" fontId="74" fillId="0" borderId="18" xfId="0" applyFont="1" applyBorder="1" applyAlignment="1">
      <alignment horizontal="center" vertical="center" wrapText="1"/>
    </xf>
    <xf numFmtId="0" fontId="74" fillId="0" borderId="18" xfId="0" applyFont="1" applyBorder="1" applyAlignment="1">
      <alignment horizontal="left" vertical="center" wrapText="1"/>
    </xf>
    <xf numFmtId="2" fontId="25" fillId="0" borderId="18" xfId="0" applyNumberFormat="1" applyFont="1" applyBorder="1" applyAlignment="1">
      <alignment horizontal="center" vertical="center" wrapText="1"/>
    </xf>
    <xf numFmtId="0" fontId="26" fillId="7" borderId="0" xfId="0" applyFont="1" applyFill="1"/>
    <xf numFmtId="0" fontId="26" fillId="0" borderId="0" xfId="0" applyFont="1"/>
    <xf numFmtId="0" fontId="77" fillId="0" borderId="0" xfId="0" applyFont="1"/>
    <xf numFmtId="0" fontId="77" fillId="0" borderId="0" xfId="0" applyFont="1" applyAlignment="1">
      <alignment horizontal="left"/>
    </xf>
    <xf numFmtId="0" fontId="23" fillId="7" borderId="21" xfId="0" applyFont="1" applyFill="1" applyBorder="1" applyAlignment="1">
      <alignment vertical="center" wrapText="1"/>
    </xf>
    <xf numFmtId="0" fontId="77" fillId="0" borderId="21" xfId="0" applyFont="1" applyBorder="1" applyAlignment="1">
      <alignment horizontal="center" vertical="center" wrapText="1"/>
    </xf>
    <xf numFmtId="167" fontId="41" fillId="7" borderId="21" xfId="0" applyNumberFormat="1" applyFont="1" applyFill="1" applyBorder="1" applyAlignment="1">
      <alignment horizontal="center" vertical="center" wrapText="1"/>
    </xf>
    <xf numFmtId="0" fontId="25" fillId="0" borderId="15" xfId="0" applyFont="1" applyBorder="1" applyAlignment="1">
      <alignment horizontal="center" vertical="center" wrapText="1"/>
    </xf>
    <xf numFmtId="0" fontId="25" fillId="7" borderId="21" xfId="0" applyFont="1" applyFill="1" applyBorder="1" applyAlignment="1">
      <alignment horizontal="center" vertical="center" wrapText="1"/>
    </xf>
    <xf numFmtId="0" fontId="25" fillId="0" borderId="21" xfId="0" applyFont="1" applyBorder="1" applyAlignment="1">
      <alignment horizontal="center" vertical="center" wrapText="1"/>
    </xf>
    <xf numFmtId="9" fontId="25" fillId="0" borderId="21" xfId="1" applyNumberFormat="1" applyFont="1" applyFill="1" applyBorder="1" applyAlignment="1">
      <alignment horizontal="center" vertical="center" wrapText="1"/>
    </xf>
    <xf numFmtId="9" fontId="25" fillId="7" borderId="21" xfId="0" applyNumberFormat="1" applyFont="1" applyFill="1" applyBorder="1" applyAlignment="1">
      <alignment horizontal="center" vertical="center" wrapText="1"/>
    </xf>
    <xf numFmtId="2" fontId="25" fillId="0" borderId="15" xfId="0" applyNumberFormat="1" applyFont="1" applyBorder="1" applyAlignment="1">
      <alignment horizontal="center" vertical="center" wrapText="1"/>
    </xf>
    <xf numFmtId="167" fontId="25" fillId="7" borderId="15" xfId="1" applyNumberFormat="1" applyFont="1" applyFill="1" applyBorder="1" applyAlignment="1">
      <alignment horizontal="center" vertical="center" wrapText="1"/>
    </xf>
    <xf numFmtId="167" fontId="25" fillId="0" borderId="15" xfId="1" applyNumberFormat="1" applyFont="1" applyFill="1" applyBorder="1" applyAlignment="1">
      <alignment horizontal="center" vertical="center" wrapText="1"/>
    </xf>
    <xf numFmtId="165" fontId="25" fillId="0" borderId="21" xfId="0" applyNumberFormat="1" applyFont="1" applyBorder="1" applyAlignment="1">
      <alignment horizontal="center" vertical="center" wrapText="1"/>
    </xf>
    <xf numFmtId="167" fontId="53" fillId="0" borderId="0" xfId="0" applyNumberFormat="1" applyFont="1"/>
    <xf numFmtId="167" fontId="36" fillId="9" borderId="30" xfId="0" applyNumberFormat="1" applyFont="1" applyFill="1" applyBorder="1" applyAlignment="1">
      <alignment horizontal="center" vertical="center" wrapText="1"/>
    </xf>
    <xf numFmtId="0" fontId="17" fillId="0" borderId="0" xfId="0" applyFont="1" applyAlignment="1">
      <alignment vertical="center"/>
    </xf>
    <xf numFmtId="0" fontId="59" fillId="0" borderId="0" xfId="0" applyFont="1" applyAlignment="1">
      <alignment vertical="center"/>
    </xf>
    <xf numFmtId="14" fontId="23" fillId="7" borderId="28" xfId="0" applyNumberFormat="1" applyFont="1" applyFill="1" applyBorder="1" applyAlignment="1">
      <alignment horizontal="center" vertical="center" wrapText="1"/>
    </xf>
    <xf numFmtId="0" fontId="23" fillId="7" borderId="28" xfId="0" applyFont="1" applyFill="1" applyBorder="1" applyAlignment="1">
      <alignment horizontal="center" vertical="center" wrapText="1"/>
    </xf>
    <xf numFmtId="9" fontId="23" fillId="0" borderId="28" xfId="0" applyNumberFormat="1" applyFont="1" applyBorder="1" applyAlignment="1">
      <alignment horizontal="center" vertical="center" wrapText="1"/>
    </xf>
    <xf numFmtId="14" fontId="23" fillId="0" borderId="28" xfId="0" quotePrefix="1" applyNumberFormat="1" applyFont="1" applyBorder="1" applyAlignment="1">
      <alignment horizontal="center" vertical="center" wrapText="1"/>
    </xf>
    <xf numFmtId="14" fontId="23" fillId="0" borderId="28" xfId="0" applyNumberFormat="1" applyFont="1" applyBorder="1" applyAlignment="1">
      <alignment horizontal="center" vertical="center" wrapText="1"/>
    </xf>
    <xf numFmtId="0" fontId="23" fillId="0" borderId="28" xfId="0" applyFont="1" applyBorder="1" applyAlignment="1">
      <alignment horizontal="center" vertical="center" wrapText="1"/>
    </xf>
    <xf numFmtId="2" fontId="23" fillId="0" borderId="28" xfId="0" applyNumberFormat="1" applyFont="1" applyBorder="1" applyAlignment="1">
      <alignment horizontal="center" vertical="center" wrapText="1"/>
    </xf>
    <xf numFmtId="14" fontId="26" fillId="0" borderId="28" xfId="0" quotePrefix="1" applyNumberFormat="1" applyFont="1" applyBorder="1" applyAlignment="1">
      <alignment horizontal="center" vertical="center" wrapText="1"/>
    </xf>
    <xf numFmtId="0" fontId="69" fillId="7" borderId="21" xfId="0" applyFont="1" applyFill="1" applyBorder="1" applyAlignment="1">
      <alignment vertical="center" wrapText="1"/>
    </xf>
    <xf numFmtId="2" fontId="26" fillId="7" borderId="21" xfId="0" applyNumberFormat="1" applyFont="1" applyFill="1" applyBorder="1" applyAlignment="1">
      <alignment horizontal="center" vertical="center" wrapText="1"/>
    </xf>
    <xf numFmtId="0" fontId="48" fillId="0" borderId="30" xfId="0" applyFont="1" applyBorder="1" applyAlignment="1">
      <alignment horizontal="left" vertical="center" wrapText="1"/>
    </xf>
    <xf numFmtId="0" fontId="25" fillId="10" borderId="0" xfId="0" applyFont="1" applyFill="1" applyAlignment="1">
      <alignment horizontal="left" vertical="center"/>
    </xf>
    <xf numFmtId="0" fontId="54" fillId="10" borderId="0" xfId="0" applyFont="1" applyFill="1" applyAlignment="1">
      <alignment horizontal="left" vertical="center"/>
    </xf>
    <xf numFmtId="0" fontId="65" fillId="10" borderId="39" xfId="0" applyFont="1" applyFill="1" applyBorder="1" applyAlignment="1">
      <alignment horizontal="center" vertical="center" wrapText="1"/>
    </xf>
    <xf numFmtId="0" fontId="65" fillId="10" borderId="39" xfId="0" applyFont="1" applyFill="1" applyBorder="1" applyAlignment="1">
      <alignment horizontal="center" vertical="center" textRotation="90" wrapText="1"/>
    </xf>
    <xf numFmtId="0" fontId="23" fillId="10" borderId="30" xfId="0" applyFont="1" applyFill="1" applyBorder="1" applyAlignment="1">
      <alignment horizontal="center" vertical="center" wrapText="1"/>
    </xf>
    <xf numFmtId="0" fontId="26" fillId="10" borderId="30" xfId="0" applyFont="1" applyFill="1" applyBorder="1" applyAlignment="1">
      <alignment horizontal="center" vertical="center" wrapText="1"/>
    </xf>
    <xf numFmtId="14" fontId="26" fillId="10" borderId="28" xfId="0" applyNumberFormat="1" applyFont="1" applyFill="1" applyBorder="1" applyAlignment="1">
      <alignment horizontal="center" vertical="center" wrapText="1"/>
    </xf>
    <xf numFmtId="14" fontId="26" fillId="10" borderId="15" xfId="0" applyNumberFormat="1" applyFont="1" applyFill="1" applyBorder="1" applyAlignment="1">
      <alignment horizontal="center" vertical="center" wrapText="1"/>
    </xf>
    <xf numFmtId="0" fontId="26" fillId="10" borderId="15" xfId="0" applyFont="1" applyFill="1" applyBorder="1" applyAlignment="1">
      <alignment horizontal="center" vertical="center" wrapText="1"/>
    </xf>
    <xf numFmtId="0" fontId="26" fillId="10" borderId="21" xfId="0" applyFont="1" applyFill="1" applyBorder="1" applyAlignment="1">
      <alignment horizontal="center" vertical="center" wrapText="1"/>
    </xf>
    <xf numFmtId="9" fontId="26" fillId="10" borderId="21" xfId="1" applyNumberFormat="1" applyFont="1" applyFill="1" applyBorder="1" applyAlignment="1">
      <alignment horizontal="center" vertical="center" wrapText="1"/>
    </xf>
    <xf numFmtId="9" fontId="26" fillId="10" borderId="21" xfId="0" applyNumberFormat="1" applyFont="1" applyFill="1" applyBorder="1" applyAlignment="1">
      <alignment horizontal="center" vertical="center" wrapText="1"/>
    </xf>
    <xf numFmtId="2" fontId="26" fillId="10" borderId="15" xfId="0" applyNumberFormat="1" applyFont="1" applyFill="1" applyBorder="1" applyAlignment="1">
      <alignment horizontal="center" vertical="center" wrapText="1"/>
    </xf>
    <xf numFmtId="167" fontId="26" fillId="10" borderId="15" xfId="1" applyNumberFormat="1" applyFont="1" applyFill="1" applyBorder="1" applyAlignment="1">
      <alignment horizontal="center" vertical="center" wrapText="1"/>
    </xf>
    <xf numFmtId="14" fontId="25" fillId="10" borderId="18" xfId="0" applyNumberFormat="1" applyFont="1" applyFill="1" applyBorder="1" applyAlignment="1">
      <alignment horizontal="center" vertical="center" wrapText="1"/>
    </xf>
    <xf numFmtId="0" fontId="25" fillId="10" borderId="18" xfId="0" applyFont="1" applyFill="1" applyBorder="1" applyAlignment="1">
      <alignment horizontal="center" vertical="center" wrapText="1"/>
    </xf>
    <xf numFmtId="2" fontId="25" fillId="10" borderId="18" xfId="0" applyNumberFormat="1" applyFont="1" applyFill="1" applyBorder="1" applyAlignment="1">
      <alignment horizontal="center" vertical="center" wrapText="1"/>
    </xf>
    <xf numFmtId="167" fontId="25" fillId="10" borderId="18" xfId="1" applyNumberFormat="1" applyFont="1" applyFill="1" applyBorder="1" applyAlignment="1">
      <alignment horizontal="center" vertical="center" wrapText="1"/>
    </xf>
    <xf numFmtId="0" fontId="26" fillId="10" borderId="0" xfId="0" applyFont="1" applyFill="1"/>
    <xf numFmtId="14" fontId="26" fillId="10" borderId="60" xfId="0" applyNumberFormat="1" applyFont="1" applyFill="1" applyBorder="1" applyAlignment="1">
      <alignment horizontal="center" vertical="center" wrapText="1"/>
    </xf>
    <xf numFmtId="14" fontId="26" fillId="10" borderId="52" xfId="0" applyNumberFormat="1" applyFont="1" applyFill="1" applyBorder="1" applyAlignment="1">
      <alignment horizontal="center" vertical="center" wrapText="1"/>
    </xf>
    <xf numFmtId="14" fontId="77" fillId="0" borderId="50" xfId="0" applyNumberFormat="1" applyFont="1" applyBorder="1" applyAlignment="1">
      <alignment horizontal="center" vertical="center" wrapText="1"/>
    </xf>
    <xf numFmtId="0" fontId="79" fillId="0" borderId="0" xfId="0" applyFont="1" applyAlignment="1">
      <alignment vertical="center"/>
    </xf>
    <xf numFmtId="0" fontId="79" fillId="0" borderId="14" xfId="0" applyFont="1" applyBorder="1" applyAlignment="1">
      <alignment horizontal="center" vertical="center" wrapText="1"/>
    </xf>
    <xf numFmtId="0" fontId="79" fillId="7" borderId="15" xfId="0" applyFont="1" applyFill="1" applyBorder="1" applyAlignment="1">
      <alignment vertical="center" wrapText="1"/>
    </xf>
    <xf numFmtId="14" fontId="79" fillId="0" borderId="15" xfId="0" applyNumberFormat="1" applyFont="1" applyBorder="1" applyAlignment="1">
      <alignment horizontal="center" vertical="center" wrapText="1"/>
    </xf>
    <xf numFmtId="0" fontId="79" fillId="0" borderId="15" xfId="0" applyFont="1" applyBorder="1" applyAlignment="1">
      <alignment vertical="center" wrapText="1"/>
    </xf>
    <xf numFmtId="0" fontId="79" fillId="0" borderId="15" xfId="0" applyFont="1" applyBorder="1" applyAlignment="1">
      <alignment horizontal="left" vertical="center" wrapText="1"/>
    </xf>
    <xf numFmtId="2" fontId="79" fillId="0" borderId="15" xfId="0" applyNumberFormat="1" applyFont="1" applyBorder="1" applyAlignment="1">
      <alignment horizontal="center" vertical="center" wrapText="1"/>
    </xf>
    <xf numFmtId="0" fontId="79" fillId="0" borderId="15" xfId="0" applyFont="1" applyBorder="1" applyAlignment="1">
      <alignment horizontal="center" vertical="center" wrapText="1"/>
    </xf>
    <xf numFmtId="9" fontId="79" fillId="0" borderId="15" xfId="0" applyNumberFormat="1" applyFont="1" applyBorder="1" applyAlignment="1">
      <alignment horizontal="center" vertical="center" wrapText="1"/>
    </xf>
    <xf numFmtId="14" fontId="79" fillId="10" borderId="15" xfId="0" applyNumberFormat="1" applyFont="1" applyFill="1" applyBorder="1" applyAlignment="1">
      <alignment horizontal="center" vertical="center" wrapText="1"/>
    </xf>
    <xf numFmtId="0" fontId="79" fillId="10" borderId="15" xfId="0" applyFont="1" applyFill="1" applyBorder="1" applyAlignment="1">
      <alignment horizontal="center" vertical="center" wrapText="1"/>
    </xf>
    <xf numFmtId="0" fontId="79" fillId="10" borderId="21" xfId="0" applyFont="1" applyFill="1" applyBorder="1" applyAlignment="1">
      <alignment horizontal="center" vertical="center" wrapText="1"/>
    </xf>
    <xf numFmtId="9" fontId="79" fillId="10" borderId="21" xfId="1" applyNumberFormat="1" applyFont="1" applyFill="1" applyBorder="1" applyAlignment="1">
      <alignment horizontal="center" vertical="center" wrapText="1"/>
    </xf>
    <xf numFmtId="9" fontId="79" fillId="10" borderId="21" xfId="0" applyNumberFormat="1" applyFont="1" applyFill="1" applyBorder="1" applyAlignment="1">
      <alignment horizontal="center" vertical="center" wrapText="1"/>
    </xf>
    <xf numFmtId="2" fontId="79" fillId="10" borderId="15" xfId="0" applyNumberFormat="1" applyFont="1" applyFill="1" applyBorder="1" applyAlignment="1">
      <alignment horizontal="center" vertical="center" wrapText="1"/>
    </xf>
    <xf numFmtId="167" fontId="79" fillId="10" borderId="15" xfId="1" applyNumberFormat="1" applyFont="1" applyFill="1" applyBorder="1" applyAlignment="1">
      <alignment horizontal="center" vertical="center" wrapText="1"/>
    </xf>
    <xf numFmtId="167" fontId="79" fillId="0" borderId="15" xfId="0" applyNumberFormat="1" applyFont="1" applyBorder="1" applyAlignment="1">
      <alignment horizontal="center" vertical="center" wrapText="1"/>
    </xf>
    <xf numFmtId="1" fontId="79" fillId="0" borderId="15" xfId="0" applyNumberFormat="1" applyFont="1" applyBorder="1" applyAlignment="1">
      <alignment horizontal="center" vertical="center" wrapText="1"/>
    </xf>
    <xf numFmtId="167" fontId="80" fillId="0" borderId="15" xfId="0" applyNumberFormat="1" applyFont="1" applyBorder="1" applyAlignment="1">
      <alignment horizontal="center" vertical="center" wrapText="1"/>
    </xf>
    <xf numFmtId="167" fontId="79" fillId="0" borderId="15" xfId="1" applyNumberFormat="1" applyFont="1" applyBorder="1" applyAlignment="1">
      <alignment horizontal="center" vertical="center" wrapText="1"/>
    </xf>
    <xf numFmtId="0" fontId="81" fillId="0" borderId="0" xfId="0" applyFont="1"/>
    <xf numFmtId="0" fontId="82" fillId="0" borderId="0" xfId="0" applyFont="1"/>
    <xf numFmtId="0" fontId="79" fillId="0" borderId="20" xfId="0" applyFont="1" applyBorder="1" applyAlignment="1">
      <alignment horizontal="center" vertical="center" wrapText="1"/>
    </xf>
    <xf numFmtId="0" fontId="79" fillId="7" borderId="21" xfId="0" applyFont="1" applyFill="1" applyBorder="1" applyAlignment="1">
      <alignment vertical="center" wrapText="1"/>
    </xf>
    <xf numFmtId="14" fontId="79" fillId="0" borderId="21" xfId="0" applyNumberFormat="1" applyFont="1" applyBorder="1" applyAlignment="1">
      <alignment horizontal="center" vertical="center" wrapText="1"/>
    </xf>
    <xf numFmtId="0" fontId="79" fillId="0" borderId="21" xfId="0" applyFont="1" applyBorder="1" applyAlignment="1">
      <alignment horizontal="center" vertical="center" wrapText="1"/>
    </xf>
    <xf numFmtId="0" fontId="79" fillId="0" borderId="21" xfId="0" applyFont="1" applyBorder="1" applyAlignment="1">
      <alignment horizontal="left" vertical="center" wrapText="1"/>
    </xf>
    <xf numFmtId="2" fontId="79" fillId="0" borderId="21" xfId="0" applyNumberFormat="1" applyFont="1" applyBorder="1" applyAlignment="1">
      <alignment horizontal="center" vertical="center" wrapText="1"/>
    </xf>
    <xf numFmtId="9" fontId="79" fillId="0" borderId="21" xfId="0" applyNumberFormat="1" applyFont="1" applyBorder="1" applyAlignment="1">
      <alignment horizontal="center" vertical="center" wrapText="1"/>
    </xf>
    <xf numFmtId="165" fontId="79" fillId="0" borderId="21" xfId="0" applyNumberFormat="1" applyFont="1" applyBorder="1" applyAlignment="1">
      <alignment horizontal="center" vertical="center" wrapText="1"/>
    </xf>
    <xf numFmtId="1" fontId="79" fillId="0" borderId="21" xfId="0" applyNumberFormat="1" applyFont="1" applyBorder="1" applyAlignment="1">
      <alignment horizontal="center" vertical="center" wrapText="1"/>
    </xf>
    <xf numFmtId="167" fontId="80" fillId="7" borderId="21" xfId="0" applyNumberFormat="1" applyFont="1" applyFill="1" applyBorder="1" applyAlignment="1">
      <alignment horizontal="center" vertical="center" wrapText="1"/>
    </xf>
    <xf numFmtId="167" fontId="79" fillId="0" borderId="21" xfId="0" applyNumberFormat="1" applyFont="1" applyBorder="1" applyAlignment="1">
      <alignment horizontal="center" vertical="center" wrapText="1"/>
    </xf>
    <xf numFmtId="167" fontId="79" fillId="0" borderId="21" xfId="1" applyNumberFormat="1" applyFont="1" applyBorder="1" applyAlignment="1">
      <alignment horizontal="center" vertical="center" wrapText="1"/>
    </xf>
    <xf numFmtId="2" fontId="79" fillId="7" borderId="21" xfId="0" applyNumberFormat="1" applyFont="1" applyFill="1" applyBorder="1" applyAlignment="1">
      <alignment horizontal="center" vertical="center" wrapText="1"/>
    </xf>
    <xf numFmtId="14" fontId="79" fillId="7" borderId="21" xfId="0" applyNumberFormat="1" applyFont="1" applyFill="1" applyBorder="1" applyAlignment="1">
      <alignment horizontal="center" vertical="center" wrapText="1"/>
    </xf>
    <xf numFmtId="14" fontId="79" fillId="10" borderId="21" xfId="0" applyNumberFormat="1" applyFont="1" applyFill="1" applyBorder="1" applyAlignment="1">
      <alignment horizontal="center" vertical="center" wrapText="1"/>
    </xf>
    <xf numFmtId="9" fontId="77" fillId="10" borderId="21" xfId="1" applyNumberFormat="1" applyFont="1" applyFill="1" applyBorder="1" applyAlignment="1">
      <alignment horizontal="center" vertical="center" wrapText="1"/>
    </xf>
    <xf numFmtId="9" fontId="77" fillId="10" borderId="21" xfId="0" applyNumberFormat="1" applyFont="1" applyFill="1" applyBorder="1" applyAlignment="1">
      <alignment horizontal="center" vertical="center" wrapText="1"/>
    </xf>
    <xf numFmtId="2" fontId="77" fillId="10" borderId="15" xfId="0" applyNumberFormat="1" applyFont="1" applyFill="1" applyBorder="1" applyAlignment="1">
      <alignment horizontal="center" vertical="center" wrapText="1"/>
    </xf>
    <xf numFmtId="167" fontId="77" fillId="10" borderId="15" xfId="1" applyNumberFormat="1" applyFont="1" applyFill="1" applyBorder="1" applyAlignment="1">
      <alignment horizontal="center" vertical="center" wrapText="1"/>
    </xf>
    <xf numFmtId="0" fontId="26" fillId="7" borderId="28" xfId="0" applyFont="1" applyFill="1" applyBorder="1" applyAlignment="1">
      <alignment horizontal="center" vertical="center" wrapText="1"/>
    </xf>
    <xf numFmtId="0" fontId="25" fillId="7" borderId="18" xfId="0" applyFont="1" applyFill="1" applyBorder="1" applyAlignment="1">
      <alignment horizontal="center" vertical="center" wrapText="1"/>
    </xf>
    <xf numFmtId="0" fontId="36" fillId="8" borderId="29" xfId="0" applyFont="1" applyFill="1" applyBorder="1" applyAlignment="1">
      <alignment horizontal="center" vertical="center" wrapText="1"/>
    </xf>
    <xf numFmtId="0" fontId="36" fillId="8" borderId="30" xfId="0" applyFont="1" applyFill="1" applyBorder="1" applyAlignment="1">
      <alignment horizontal="left" vertical="center" wrapText="1"/>
    </xf>
    <xf numFmtId="0" fontId="36" fillId="8" borderId="30" xfId="0" applyFont="1" applyFill="1" applyBorder="1" applyAlignment="1">
      <alignment vertical="center"/>
    </xf>
    <xf numFmtId="0" fontId="48" fillId="8" borderId="30" xfId="0" applyFont="1" applyFill="1" applyBorder="1" applyAlignment="1">
      <alignment horizontal="center" vertical="center" wrapText="1"/>
    </xf>
    <xf numFmtId="4" fontId="50" fillId="8" borderId="30" xfId="0" applyNumberFormat="1" applyFont="1" applyFill="1" applyBorder="1" applyAlignment="1">
      <alignment horizontal="right" vertical="center" wrapText="1"/>
    </xf>
    <xf numFmtId="2" fontId="50" fillId="8" borderId="30" xfId="0" applyNumberFormat="1" applyFont="1" applyFill="1" applyBorder="1" applyAlignment="1">
      <alignment horizontal="right" vertical="center" wrapText="1"/>
    </xf>
    <xf numFmtId="14" fontId="48" fillId="8" borderId="30" xfId="0" applyNumberFormat="1" applyFont="1" applyFill="1" applyBorder="1" applyAlignment="1">
      <alignment horizontal="center" vertical="center" wrapText="1"/>
    </xf>
    <xf numFmtId="0" fontId="36" fillId="8" borderId="30" xfId="0" applyFont="1" applyFill="1" applyBorder="1" applyAlignment="1">
      <alignment horizontal="center" vertical="center" wrapText="1"/>
    </xf>
    <xf numFmtId="3" fontId="36" fillId="8" borderId="30" xfId="0" applyNumberFormat="1" applyFont="1" applyFill="1" applyBorder="1" applyAlignment="1">
      <alignment horizontal="right" vertical="center" wrapText="1"/>
    </xf>
    <xf numFmtId="0" fontId="48" fillId="8" borderId="31" xfId="0" applyFont="1" applyFill="1" applyBorder="1" applyAlignment="1">
      <alignment horizontal="center" vertical="center" wrapText="1"/>
    </xf>
    <xf numFmtId="0" fontId="48" fillId="7" borderId="0" xfId="0" applyFont="1" applyFill="1" applyAlignment="1">
      <alignment wrapText="1"/>
    </xf>
    <xf numFmtId="167" fontId="36" fillId="7" borderId="30" xfId="0" applyNumberFormat="1" applyFont="1" applyFill="1" applyBorder="1" applyAlignment="1">
      <alignment horizontal="center" vertical="center" wrapText="1"/>
    </xf>
    <xf numFmtId="167" fontId="48" fillId="7" borderId="0" xfId="0" applyNumberFormat="1" applyFont="1" applyFill="1" applyAlignment="1">
      <alignment wrapText="1"/>
    </xf>
    <xf numFmtId="0" fontId="26" fillId="7" borderId="0" xfId="0" applyFont="1" applyFill="1" applyAlignment="1">
      <alignment vertical="center"/>
    </xf>
    <xf numFmtId="0" fontId="39" fillId="7" borderId="0" xfId="0" applyFont="1" applyFill="1"/>
    <xf numFmtId="0" fontId="44" fillId="8" borderId="29" xfId="0" applyFont="1" applyFill="1" applyBorder="1" applyAlignment="1">
      <alignment horizontal="center" vertical="center" wrapText="1"/>
    </xf>
    <xf numFmtId="0" fontId="44" fillId="8" borderId="30" xfId="0" applyFont="1" applyFill="1" applyBorder="1" applyAlignment="1">
      <alignment vertical="center" wrapText="1"/>
    </xf>
    <xf numFmtId="0" fontId="44" fillId="8" borderId="30" xfId="0" applyFont="1" applyFill="1" applyBorder="1" applyAlignment="1">
      <alignment horizontal="left" vertical="center" wrapText="1"/>
    </xf>
    <xf numFmtId="0" fontId="83" fillId="8" borderId="30" xfId="0" applyFont="1" applyFill="1" applyBorder="1" applyAlignment="1">
      <alignment vertical="center" wrapText="1"/>
    </xf>
    <xf numFmtId="0" fontId="83" fillId="8" borderId="30" xfId="0" applyFont="1" applyFill="1" applyBorder="1" applyAlignment="1">
      <alignment horizontal="center" vertical="center" wrapText="1"/>
    </xf>
    <xf numFmtId="0" fontId="41" fillId="8" borderId="30" xfId="0" applyFont="1" applyFill="1" applyBorder="1" applyAlignment="1">
      <alignment horizontal="center" vertical="center" wrapText="1"/>
    </xf>
    <xf numFmtId="0" fontId="44" fillId="8" borderId="30" xfId="0" applyFont="1" applyFill="1" applyBorder="1" applyAlignment="1">
      <alignment horizontal="center" vertical="center" wrapText="1"/>
    </xf>
    <xf numFmtId="167" fontId="43" fillId="8" borderId="30" xfId="0" applyNumberFormat="1" applyFont="1" applyFill="1" applyBorder="1" applyAlignment="1">
      <alignment horizontal="center" vertical="center" wrapText="1"/>
    </xf>
    <xf numFmtId="0" fontId="83" fillId="8" borderId="31" xfId="0" applyFont="1" applyFill="1" applyBorder="1" applyAlignment="1">
      <alignment horizontal="center" vertical="center" wrapText="1"/>
    </xf>
    <xf numFmtId="0" fontId="36" fillId="11" borderId="29" xfId="0" applyFont="1" applyFill="1" applyBorder="1" applyAlignment="1">
      <alignment horizontal="center" vertical="center" wrapText="1"/>
    </xf>
    <xf numFmtId="0" fontId="36" fillId="11" borderId="30" xfId="0" applyFont="1" applyFill="1" applyBorder="1" applyAlignment="1">
      <alignment horizontal="left" vertical="center"/>
    </xf>
    <xf numFmtId="0" fontId="36" fillId="11" borderId="30" xfId="0" applyFont="1" applyFill="1" applyBorder="1" applyAlignment="1">
      <alignment vertical="center"/>
    </xf>
    <xf numFmtId="0" fontId="48" fillId="11" borderId="30" xfId="0" applyFont="1" applyFill="1" applyBorder="1" applyAlignment="1">
      <alignment horizontal="center" vertical="center" wrapText="1"/>
    </xf>
    <xf numFmtId="4" fontId="48" fillId="11" borderId="30" xfId="0" applyNumberFormat="1" applyFont="1" applyFill="1" applyBorder="1" applyAlignment="1">
      <alignment horizontal="right" vertical="center" wrapText="1"/>
    </xf>
    <xf numFmtId="2" fontId="48" fillId="11" borderId="30" xfId="0" applyNumberFormat="1" applyFont="1" applyFill="1" applyBorder="1" applyAlignment="1">
      <alignment horizontal="right" vertical="center" wrapText="1"/>
    </xf>
    <xf numFmtId="14" fontId="48" fillId="11" borderId="30" xfId="0" applyNumberFormat="1" applyFont="1" applyFill="1" applyBorder="1" applyAlignment="1">
      <alignment horizontal="center" vertical="center" wrapText="1"/>
    </xf>
    <xf numFmtId="0" fontId="36" fillId="11" borderId="30" xfId="0" applyFont="1" applyFill="1" applyBorder="1" applyAlignment="1">
      <alignment horizontal="center" vertical="center" wrapText="1"/>
    </xf>
    <xf numFmtId="167" fontId="36" fillId="11" borderId="30" xfId="0" applyNumberFormat="1" applyFont="1" applyFill="1" applyBorder="1" applyAlignment="1">
      <alignment horizontal="center" vertical="center" wrapText="1"/>
    </xf>
    <xf numFmtId="0" fontId="48" fillId="11" borderId="31" xfId="0" applyFont="1" applyFill="1" applyBorder="1" applyAlignment="1">
      <alignment horizontal="center" vertical="center" wrapText="1"/>
    </xf>
    <xf numFmtId="0" fontId="41" fillId="11" borderId="30" xfId="0" applyFont="1" applyFill="1" applyBorder="1" applyAlignment="1">
      <alignment horizontal="center" vertical="center" wrapText="1"/>
    </xf>
    <xf numFmtId="0" fontId="59" fillId="0" borderId="0" xfId="0" applyFont="1" applyAlignment="1">
      <alignment horizontal="right" vertical="center"/>
    </xf>
    <xf numFmtId="0" fontId="36" fillId="11" borderId="30" xfId="0" applyFont="1" applyFill="1" applyBorder="1" applyAlignment="1">
      <alignment horizontal="right" vertical="center"/>
    </xf>
    <xf numFmtId="0" fontId="36" fillId="8" borderId="30" xfId="0" applyFont="1" applyFill="1" applyBorder="1" applyAlignment="1">
      <alignment horizontal="right" vertical="center"/>
    </xf>
    <xf numFmtId="14" fontId="50" fillId="0" borderId="30" xfId="0" applyNumberFormat="1" applyFont="1" applyBorder="1" applyAlignment="1">
      <alignment horizontal="right" vertical="center" wrapText="1"/>
    </xf>
    <xf numFmtId="0" fontId="44" fillId="8" borderId="30" xfId="0" applyFont="1" applyFill="1" applyBorder="1" applyAlignment="1">
      <alignment horizontal="right" vertical="center" wrapText="1"/>
    </xf>
    <xf numFmtId="0" fontId="0" fillId="0" borderId="0" xfId="0" applyAlignment="1">
      <alignment horizontal="right"/>
    </xf>
    <xf numFmtId="0" fontId="84" fillId="0" borderId="0" xfId="0" applyFont="1"/>
    <xf numFmtId="0" fontId="84" fillId="0" borderId="0" xfId="0" applyFont="1" applyAlignment="1">
      <alignment horizontal="center"/>
    </xf>
    <xf numFmtId="14" fontId="84" fillId="0" borderId="0" xfId="0" applyNumberFormat="1" applyFont="1"/>
    <xf numFmtId="0" fontId="86" fillId="0" borderId="30" xfId="0" applyFont="1" applyBorder="1" applyAlignment="1">
      <alignment horizontal="center" vertical="center" wrapText="1"/>
    </xf>
    <xf numFmtId="14" fontId="86" fillId="0" borderId="42" xfId="0" applyNumberFormat="1" applyFont="1" applyBorder="1" applyAlignment="1">
      <alignment horizontal="center" vertical="center" wrapText="1"/>
    </xf>
    <xf numFmtId="0" fontId="87" fillId="0" borderId="30" xfId="0" applyFont="1" applyBorder="1" applyAlignment="1">
      <alignment horizontal="center" vertical="center" wrapText="1"/>
    </xf>
    <xf numFmtId="9" fontId="86" fillId="0" borderId="30" xfId="0" applyNumberFormat="1" applyFont="1" applyBorder="1" applyAlignment="1">
      <alignment horizontal="center" vertical="center" wrapText="1"/>
    </xf>
    <xf numFmtId="3" fontId="86" fillId="0" borderId="30" xfId="0" applyNumberFormat="1" applyFont="1" applyBorder="1" applyAlignment="1">
      <alignment vertical="center" wrapText="1"/>
    </xf>
    <xf numFmtId="14" fontId="86" fillId="0" borderId="30" xfId="0" applyNumberFormat="1" applyFont="1" applyBorder="1" applyAlignment="1">
      <alignment vertical="center" wrapText="1"/>
    </xf>
    <xf numFmtId="3" fontId="86" fillId="0" borderId="30" xfId="0" applyNumberFormat="1" applyFont="1" applyBorder="1" applyAlignment="1">
      <alignment horizontal="center" vertical="center" wrapText="1"/>
    </xf>
    <xf numFmtId="0" fontId="85" fillId="0" borderId="0" xfId="0" applyFont="1"/>
    <xf numFmtId="0" fontId="88" fillId="0" borderId="30" xfId="0" applyFont="1" applyBorder="1" applyAlignment="1">
      <alignment horizontal="center" vertical="center" wrapText="1"/>
    </xf>
    <xf numFmtId="0" fontId="88" fillId="0" borderId="30" xfId="0" applyFont="1" applyBorder="1" applyAlignment="1">
      <alignment vertical="center" wrapText="1"/>
    </xf>
    <xf numFmtId="14" fontId="88" fillId="0" borderId="30" xfId="0" quotePrefix="1" applyNumberFormat="1" applyFont="1" applyBorder="1" applyAlignment="1">
      <alignment horizontal="center" vertical="center" wrapText="1"/>
    </xf>
    <xf numFmtId="3" fontId="88" fillId="0" borderId="30" xfId="0" applyNumberFormat="1" applyFont="1" applyBorder="1" applyAlignment="1">
      <alignment horizontal="center" vertical="center" wrapText="1"/>
    </xf>
    <xf numFmtId="0" fontId="84" fillId="0" borderId="30" xfId="0" applyFont="1" applyBorder="1" applyAlignment="1">
      <alignment horizontal="center" vertical="center"/>
    </xf>
    <xf numFmtId="49" fontId="89" fillId="0" borderId="30" xfId="0" quotePrefix="1" applyNumberFormat="1" applyFont="1" applyBorder="1" applyAlignment="1">
      <alignment horizontal="center" vertical="center" wrapText="1"/>
    </xf>
    <xf numFmtId="9" fontId="89" fillId="7" borderId="30" xfId="0" applyNumberFormat="1" applyFont="1" applyFill="1" applyBorder="1" applyAlignment="1">
      <alignment horizontal="center" vertical="center" wrapText="1"/>
    </xf>
    <xf numFmtId="3" fontId="88" fillId="0" borderId="30" xfId="0" applyNumberFormat="1" applyFont="1" applyBorder="1" applyAlignment="1">
      <alignment horizontal="right" vertical="center" wrapText="1"/>
    </xf>
    <xf numFmtId="3" fontId="88" fillId="0" borderId="30" xfId="0" applyNumberFormat="1" applyFont="1" applyBorder="1" applyAlignment="1">
      <alignment vertical="center" wrapText="1"/>
    </xf>
    <xf numFmtId="0" fontId="89" fillId="0" borderId="30" xfId="0" applyFont="1" applyBorder="1" applyAlignment="1">
      <alignment horizontal="center" vertical="center" wrapText="1"/>
    </xf>
    <xf numFmtId="0" fontId="89" fillId="0" borderId="0" xfId="0" applyFont="1"/>
    <xf numFmtId="14" fontId="89" fillId="7" borderId="30" xfId="0" quotePrefix="1" applyNumberFormat="1" applyFont="1" applyFill="1" applyBorder="1" applyAlignment="1">
      <alignment horizontal="center" vertical="center" wrapText="1"/>
    </xf>
    <xf numFmtId="9" fontId="88" fillId="0" borderId="30" xfId="0" applyNumberFormat="1" applyFont="1" applyBorder="1" applyAlignment="1">
      <alignment horizontal="center" vertical="center" wrapText="1"/>
    </xf>
    <xf numFmtId="169" fontId="89" fillId="0" borderId="30" xfId="0" quotePrefix="1" applyNumberFormat="1" applyFont="1" applyBorder="1" applyAlignment="1">
      <alignment horizontal="center" vertical="center" wrapText="1"/>
    </xf>
    <xf numFmtId="168" fontId="89" fillId="0" borderId="30" xfId="0" applyNumberFormat="1" applyFont="1" applyBorder="1" applyAlignment="1">
      <alignment horizontal="center" vertical="center"/>
    </xf>
    <xf numFmtId="9" fontId="89" fillId="0" borderId="30" xfId="0" quotePrefix="1" applyNumberFormat="1" applyFont="1" applyBorder="1" applyAlignment="1">
      <alignment horizontal="center" vertical="center" wrapText="1"/>
    </xf>
    <xf numFmtId="3" fontId="89" fillId="0" borderId="30" xfId="0" applyNumberFormat="1" applyFont="1" applyBorder="1" applyAlignment="1">
      <alignment horizontal="right" vertical="center" wrapText="1"/>
    </xf>
    <xf numFmtId="14" fontId="89" fillId="0" borderId="30" xfId="0" quotePrefix="1" applyNumberFormat="1" applyFont="1" applyBorder="1" applyAlignment="1">
      <alignment horizontal="center" vertical="center" wrapText="1"/>
    </xf>
    <xf numFmtId="3" fontId="89" fillId="0" borderId="30" xfId="0" applyNumberFormat="1" applyFont="1" applyBorder="1" applyAlignment="1">
      <alignment vertical="center" wrapText="1"/>
    </xf>
    <xf numFmtId="3" fontId="89" fillId="0" borderId="30" xfId="0" applyNumberFormat="1" applyFont="1" applyBorder="1" applyAlignment="1">
      <alignment horizontal="center" vertical="center" wrapText="1"/>
    </xf>
    <xf numFmtId="0" fontId="84" fillId="0" borderId="30" xfId="0" applyFont="1" applyBorder="1" applyAlignment="1">
      <alignment vertical="center"/>
    </xf>
    <xf numFmtId="170" fontId="89" fillId="0" borderId="30" xfId="0" quotePrefix="1" applyNumberFormat="1" applyFont="1" applyBorder="1" applyAlignment="1">
      <alignment horizontal="center" vertical="center" wrapText="1"/>
    </xf>
    <xf numFmtId="1" fontId="88" fillId="0" borderId="30" xfId="0" quotePrefix="1" applyNumberFormat="1" applyFont="1" applyBorder="1" applyAlignment="1">
      <alignment horizontal="center" vertical="center" wrapText="1"/>
    </xf>
    <xf numFmtId="49" fontId="88" fillId="0" borderId="30" xfId="0" quotePrefix="1" applyNumberFormat="1" applyFont="1" applyBorder="1" applyAlignment="1">
      <alignment horizontal="center" vertical="center" wrapText="1"/>
    </xf>
    <xf numFmtId="14" fontId="93" fillId="0" borderId="30" xfId="0" quotePrefix="1" applyNumberFormat="1" applyFont="1" applyBorder="1" applyAlignment="1">
      <alignment horizontal="center" vertical="center"/>
    </xf>
    <xf numFmtId="0" fontId="86" fillId="0" borderId="40" xfId="0" applyFont="1" applyBorder="1" applyAlignment="1">
      <alignment horizontal="left" vertical="center" wrapText="1"/>
    </xf>
    <xf numFmtId="0" fontId="86" fillId="0" borderId="62" xfId="0" applyFont="1" applyBorder="1" applyAlignment="1">
      <alignment horizontal="left" vertical="center" wrapText="1"/>
    </xf>
    <xf numFmtId="0" fontId="86" fillId="0" borderId="30" xfId="0" applyFont="1" applyBorder="1" applyAlignment="1">
      <alignment horizontal="center" vertical="center" wrapText="1"/>
    </xf>
    <xf numFmtId="14" fontId="86" fillId="0" borderId="30" xfId="0" applyNumberFormat="1" applyFont="1" applyBorder="1" applyAlignment="1">
      <alignment horizontal="center" vertical="center" wrapText="1"/>
    </xf>
    <xf numFmtId="14" fontId="86" fillId="0" borderId="39" xfId="0" applyNumberFormat="1" applyFont="1" applyBorder="1" applyAlignment="1">
      <alignment horizontal="center" vertical="center" wrapText="1"/>
    </xf>
    <xf numFmtId="14" fontId="86" fillId="0" borderId="42" xfId="0" applyNumberFormat="1" applyFont="1" applyBorder="1" applyAlignment="1">
      <alignment horizontal="center" vertical="center" wrapText="1"/>
    </xf>
    <xf numFmtId="14" fontId="86" fillId="0" borderId="40" xfId="0" applyNumberFormat="1" applyFont="1" applyBorder="1" applyAlignment="1">
      <alignment horizontal="center" vertical="center" wrapText="1"/>
    </xf>
    <xf numFmtId="14" fontId="86" fillId="0" borderId="62" xfId="0" applyNumberFormat="1" applyFont="1" applyBorder="1" applyAlignment="1">
      <alignment horizontal="center" vertical="center" wrapText="1"/>
    </xf>
    <xf numFmtId="0" fontId="85" fillId="0" borderId="0" xfId="0" applyFont="1" applyAlignment="1">
      <alignment horizontal="center" vertical="center" wrapText="1"/>
    </xf>
    <xf numFmtId="0" fontId="85" fillId="0" borderId="0" xfId="0" applyFont="1" applyAlignment="1">
      <alignment horizontal="center" vertical="center"/>
    </xf>
    <xf numFmtId="0" fontId="86" fillId="0" borderId="40" xfId="0" applyFont="1" applyBorder="1" applyAlignment="1">
      <alignment horizontal="center" vertical="center" wrapText="1"/>
    </xf>
    <xf numFmtId="0" fontId="86" fillId="0" borderId="61" xfId="0" applyFont="1" applyBorder="1" applyAlignment="1">
      <alignment horizontal="center" vertical="center" wrapText="1"/>
    </xf>
    <xf numFmtId="0" fontId="86" fillId="0" borderId="62" xfId="0" applyFont="1" applyBorder="1" applyAlignment="1">
      <alignment horizontal="center" vertical="center" wrapText="1"/>
    </xf>
    <xf numFmtId="0" fontId="91" fillId="0" borderId="0" xfId="0" applyFont="1" applyAlignment="1">
      <alignment horizontal="center" vertical="center" wrapText="1"/>
    </xf>
    <xf numFmtId="0" fontId="92" fillId="0" borderId="0" xfId="0" applyFont="1" applyAlignment="1">
      <alignment horizontal="center"/>
    </xf>
    <xf numFmtId="0" fontId="86" fillId="0" borderId="39" xfId="0" applyFont="1" applyBorder="1" applyAlignment="1">
      <alignment horizontal="center" vertical="center" wrapText="1"/>
    </xf>
    <xf numFmtId="0" fontId="86" fillId="0" borderId="42" xfId="0" applyFont="1" applyBorder="1" applyAlignment="1">
      <alignment horizontal="center" vertical="center" wrapText="1"/>
    </xf>
    <xf numFmtId="0" fontId="38" fillId="0" borderId="46" xfId="0" applyFont="1" applyBorder="1" applyAlignment="1">
      <alignment horizontal="center" vertical="center" wrapText="1"/>
    </xf>
    <xf numFmtId="0" fontId="38" fillId="0" borderId="47" xfId="0" applyFont="1" applyBorder="1" applyAlignment="1">
      <alignment horizontal="center" vertical="center" wrapText="1"/>
    </xf>
    <xf numFmtId="0" fontId="38" fillId="0" borderId="48" xfId="0" applyFont="1" applyBorder="1" applyAlignment="1">
      <alignment horizontal="center" vertical="center" wrapText="1"/>
    </xf>
    <xf numFmtId="0" fontId="38" fillId="0" borderId="49" xfId="0" applyFont="1" applyBorder="1" applyAlignment="1">
      <alignment horizontal="center" vertical="center" wrapText="1"/>
    </xf>
    <xf numFmtId="0" fontId="38" fillId="0" borderId="31" xfId="0" applyFont="1" applyBorder="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xf>
    <xf numFmtId="0" fontId="18" fillId="0" borderId="0" xfId="0" applyFont="1" applyAlignment="1">
      <alignment horizontal="center"/>
    </xf>
    <xf numFmtId="167" fontId="41" fillId="7" borderId="50" xfId="0" applyNumberFormat="1" applyFont="1" applyFill="1" applyBorder="1" applyAlignment="1">
      <alignment horizontal="center" vertical="center" wrapText="1"/>
    </xf>
    <xf numFmtId="167" fontId="41" fillId="7" borderId="51" xfId="0" applyNumberFormat="1" applyFont="1" applyFill="1" applyBorder="1" applyAlignment="1">
      <alignment horizontal="center" vertical="center" wrapText="1"/>
    </xf>
    <xf numFmtId="167" fontId="41" fillId="7" borderId="52" xfId="0" applyNumberFormat="1" applyFont="1" applyFill="1" applyBorder="1" applyAlignment="1">
      <alignment horizontal="center" vertical="center" wrapText="1"/>
    </xf>
    <xf numFmtId="0" fontId="38" fillId="0" borderId="44" xfId="0" applyFont="1" applyBorder="1" applyAlignment="1">
      <alignment horizontal="center" vertical="center" wrapText="1"/>
    </xf>
    <xf numFmtId="4" fontId="49" fillId="0" borderId="44" xfId="0" applyNumberFormat="1" applyFont="1" applyBorder="1" applyAlignment="1">
      <alignment horizontal="center" vertical="center" wrapText="1"/>
    </xf>
    <xf numFmtId="4" fontId="49" fillId="0" borderId="30" xfId="0" applyNumberFormat="1" applyFont="1" applyBorder="1" applyAlignment="1">
      <alignment horizontal="center" vertical="center" wrapText="1"/>
    </xf>
    <xf numFmtId="2" fontId="49" fillId="0" borderId="44" xfId="0" applyNumberFormat="1" applyFont="1" applyBorder="1" applyAlignment="1">
      <alignment horizontal="center" vertical="center" wrapText="1"/>
    </xf>
    <xf numFmtId="2" fontId="49" fillId="0" borderId="30" xfId="0" applyNumberFormat="1" applyFont="1" applyBorder="1" applyAlignment="1">
      <alignment horizontal="center" vertical="center" wrapText="1"/>
    </xf>
    <xf numFmtId="0" fontId="49" fillId="0" borderId="46" xfId="0" applyFont="1" applyBorder="1" applyAlignment="1">
      <alignment horizontal="center" vertical="center" wrapText="1"/>
    </xf>
    <xf numFmtId="0" fontId="49" fillId="0" borderId="48" xfId="0" applyFont="1" applyBorder="1" applyAlignment="1">
      <alignment horizontal="center" vertical="center" wrapText="1"/>
    </xf>
    <xf numFmtId="14" fontId="49" fillId="0" borderId="44" xfId="0" applyNumberFormat="1" applyFont="1" applyBorder="1" applyAlignment="1">
      <alignment horizontal="center" vertical="center" wrapText="1"/>
    </xf>
    <xf numFmtId="14" fontId="49" fillId="0" borderId="30" xfId="0" applyNumberFormat="1" applyFont="1" applyBorder="1" applyAlignment="1">
      <alignment horizontal="center" vertical="center" wrapText="1"/>
    </xf>
    <xf numFmtId="0" fontId="49" fillId="0" borderId="44" xfId="0" applyFont="1" applyBorder="1" applyAlignment="1">
      <alignment horizontal="center" vertical="center" wrapText="1"/>
    </xf>
    <xf numFmtId="0" fontId="49" fillId="0" borderId="30" xfId="0" applyFont="1" applyBorder="1" applyAlignment="1">
      <alignment horizontal="center" vertical="center" wrapText="1"/>
    </xf>
    <xf numFmtId="0" fontId="16" fillId="0" borderId="0" xfId="0" applyFont="1" applyAlignment="1">
      <alignment horizontal="center" vertical="center"/>
    </xf>
    <xf numFmtId="0" fontId="60" fillId="0" borderId="0" xfId="0" applyFont="1" applyAlignment="1">
      <alignment horizontal="center" vertical="center"/>
    </xf>
    <xf numFmtId="0" fontId="38" fillId="0" borderId="53" xfId="0" applyFont="1" applyBorder="1" applyAlignment="1">
      <alignment horizontal="center" vertical="center" wrapText="1"/>
    </xf>
    <xf numFmtId="0" fontId="38" fillId="0" borderId="29" xfId="0" applyFont="1" applyBorder="1" applyAlignment="1">
      <alignment horizontal="center" vertical="center" wrapText="1"/>
    </xf>
    <xf numFmtId="0" fontId="38" fillId="0" borderId="30" xfId="0" applyFont="1" applyBorder="1" applyAlignment="1">
      <alignment horizontal="center" vertical="center" wrapText="1"/>
    </xf>
    <xf numFmtId="0" fontId="33" fillId="0" borderId="0" xfId="0" applyFont="1" applyAlignment="1">
      <alignment horizontal="center" vertical="center"/>
    </xf>
    <xf numFmtId="0" fontId="33" fillId="0" borderId="0" xfId="0" applyFont="1" applyAlignment="1">
      <alignment horizontal="right" vertical="center"/>
    </xf>
    <xf numFmtId="0" fontId="57" fillId="0" borderId="0" xfId="0" applyFont="1" applyAlignment="1">
      <alignment horizontal="center" vertical="center"/>
    </xf>
    <xf numFmtId="0" fontId="17" fillId="0" borderId="0" xfId="0" applyFont="1" applyAlignment="1">
      <alignment horizontal="center" vertical="center"/>
    </xf>
    <xf numFmtId="0" fontId="59" fillId="0" borderId="0" xfId="0" applyFont="1" applyAlignment="1">
      <alignment horizontal="center" vertical="center"/>
    </xf>
    <xf numFmtId="0" fontId="24" fillId="0" borderId="43" xfId="0" applyFont="1" applyBorder="1" applyAlignment="1">
      <alignment horizontal="center" vertical="center" textRotation="90" wrapText="1"/>
    </xf>
    <xf numFmtId="0" fontId="24" fillId="0" borderId="33" xfId="0" applyFont="1" applyBorder="1" applyAlignment="1">
      <alignment horizontal="center" vertical="center" textRotation="90" wrapText="1"/>
    </xf>
    <xf numFmtId="0" fontId="24" fillId="0" borderId="43" xfId="0" applyFont="1" applyBorder="1" applyAlignment="1">
      <alignment horizontal="center" vertical="center" wrapText="1"/>
    </xf>
    <xf numFmtId="0" fontId="24" fillId="0" borderId="33" xfId="0" applyFont="1" applyBorder="1" applyAlignment="1">
      <alignment horizontal="center" vertical="center" wrapText="1"/>
    </xf>
    <xf numFmtId="0" fontId="24" fillId="0" borderId="44" xfId="0" applyFont="1" applyBorder="1" applyAlignment="1">
      <alignment horizontal="center" vertical="center" wrapText="1"/>
    </xf>
    <xf numFmtId="0" fontId="40" fillId="0" borderId="56" xfId="0" applyFont="1" applyBorder="1" applyAlignment="1">
      <alignment horizontal="center" vertical="center"/>
    </xf>
    <xf numFmtId="0" fontId="24" fillId="0" borderId="54" xfId="0" applyFont="1" applyBorder="1" applyAlignment="1">
      <alignment horizontal="center" vertical="center" wrapText="1"/>
    </xf>
    <xf numFmtId="0" fontId="24" fillId="0" borderId="32" xfId="0" applyFont="1" applyBorder="1" applyAlignment="1">
      <alignment horizontal="center" vertical="center" wrapText="1"/>
    </xf>
    <xf numFmtId="0" fontId="24" fillId="0" borderId="39" xfId="0" applyFont="1" applyBorder="1" applyAlignment="1">
      <alignment horizontal="center" vertical="center" wrapText="1"/>
    </xf>
    <xf numFmtId="0" fontId="36" fillId="0" borderId="0" xfId="0" applyFont="1" applyAlignment="1">
      <alignment horizontal="center" vertical="center"/>
    </xf>
    <xf numFmtId="0" fontId="36" fillId="0" borderId="0" xfId="0" applyFont="1" applyAlignment="1">
      <alignment horizontal="right" vertical="center"/>
    </xf>
    <xf numFmtId="0" fontId="29" fillId="0" borderId="0" xfId="0" applyFont="1" applyAlignment="1">
      <alignment horizontal="center" vertical="center"/>
    </xf>
    <xf numFmtId="0" fontId="31" fillId="0" borderId="0" xfId="0" applyFont="1" applyAlignment="1">
      <alignment horizontal="center" vertical="center"/>
    </xf>
    <xf numFmtId="0" fontId="37" fillId="0" borderId="0" xfId="0" applyFont="1" applyAlignment="1">
      <alignment horizontal="center" vertical="center"/>
    </xf>
    <xf numFmtId="0" fontId="25" fillId="0" borderId="0" xfId="0" applyFont="1" applyAlignment="1">
      <alignment horizontal="center"/>
    </xf>
    <xf numFmtId="0" fontId="24" fillId="0" borderId="49" xfId="0" applyFont="1" applyBorder="1" applyAlignment="1">
      <alignment horizontal="center" vertical="center" wrapText="1"/>
    </xf>
    <xf numFmtId="0" fontId="24" fillId="0" borderId="55" xfId="0" applyFont="1" applyBorder="1" applyAlignment="1">
      <alignment horizontal="center" vertical="center" wrapText="1"/>
    </xf>
    <xf numFmtId="167" fontId="45" fillId="0" borderId="15" xfId="0" applyNumberFormat="1" applyFont="1" applyBorder="1" applyAlignment="1">
      <alignment horizontal="center" vertical="center" wrapText="1"/>
    </xf>
    <xf numFmtId="0" fontId="24" fillId="0" borderId="0" xfId="0" applyFont="1" applyAlignment="1">
      <alignment horizontal="center" vertical="center" wrapText="1"/>
    </xf>
    <xf numFmtId="0" fontId="24" fillId="0" borderId="45" xfId="0" applyFont="1" applyBorder="1" applyAlignment="1">
      <alignment horizontal="center" vertical="center" wrapText="1"/>
    </xf>
    <xf numFmtId="0" fontId="24" fillId="0" borderId="42" xfId="0" applyFont="1" applyBorder="1" applyAlignment="1">
      <alignment horizontal="center" vertical="center" wrapText="1"/>
    </xf>
    <xf numFmtId="0" fontId="24" fillId="0" borderId="42" xfId="0" applyFont="1" applyBorder="1" applyAlignment="1">
      <alignment horizontal="center" vertical="center" textRotation="90" wrapText="1"/>
    </xf>
    <xf numFmtId="0" fontId="24" fillId="0" borderId="30" xfId="0" applyFont="1" applyBorder="1" applyAlignment="1">
      <alignment horizontal="center" vertical="center" wrapText="1"/>
    </xf>
    <xf numFmtId="0" fontId="24" fillId="2" borderId="44" xfId="0" applyFont="1" applyFill="1" applyBorder="1" applyAlignment="1">
      <alignment horizontal="center" vertical="center" wrapText="1"/>
    </xf>
    <xf numFmtId="0" fontId="24" fillId="0" borderId="31" xfId="0" applyFont="1" applyBorder="1" applyAlignment="1">
      <alignment horizontal="center" vertical="center" wrapText="1"/>
    </xf>
    <xf numFmtId="0" fontId="32" fillId="0" borderId="49" xfId="0" applyFont="1" applyBorder="1" applyAlignment="1">
      <alignment horizontal="center" vertical="center" wrapText="1"/>
    </xf>
    <xf numFmtId="0" fontId="32" fillId="0" borderId="31" xfId="0" applyFont="1" applyBorder="1" applyAlignment="1">
      <alignment horizontal="center" vertical="center" wrapText="1"/>
    </xf>
    <xf numFmtId="0" fontId="32" fillId="0" borderId="44" xfId="0" applyFont="1" applyBorder="1" applyAlignment="1">
      <alignment horizontal="center" vertical="center" wrapText="1"/>
    </xf>
    <xf numFmtId="0" fontId="64" fillId="0" borderId="0" xfId="0" applyFont="1" applyAlignment="1">
      <alignment horizontal="center" vertical="center"/>
    </xf>
    <xf numFmtId="0" fontId="78" fillId="0" borderId="0" xfId="0" applyFont="1" applyAlignment="1">
      <alignment horizontal="center" vertical="center"/>
    </xf>
    <xf numFmtId="0" fontId="49" fillId="0" borderId="53" xfId="0" applyFont="1" applyBorder="1" applyAlignment="1">
      <alignment horizontal="center" vertical="center" wrapText="1"/>
    </xf>
    <xf numFmtId="0" fontId="49" fillId="0" borderId="29" xfId="0" applyFont="1" applyBorder="1" applyAlignment="1">
      <alignment horizontal="center" vertical="center" wrapText="1"/>
    </xf>
    <xf numFmtId="0" fontId="36" fillId="7" borderId="0" xfId="0" applyFont="1" applyFill="1" applyAlignment="1">
      <alignment horizontal="center" vertical="center"/>
    </xf>
    <xf numFmtId="0" fontId="53" fillId="0" borderId="0" xfId="0" applyFont="1" applyAlignment="1">
      <alignment horizontal="center" vertical="center"/>
    </xf>
    <xf numFmtId="0" fontId="53" fillId="7" borderId="0" xfId="0" applyFont="1" applyFill="1" applyAlignment="1">
      <alignment horizontal="center" vertical="center"/>
    </xf>
    <xf numFmtId="0" fontId="54" fillId="0" borderId="0" xfId="0" applyFont="1" applyAlignment="1">
      <alignment horizontal="center" vertical="center"/>
    </xf>
    <xf numFmtId="0" fontId="55" fillId="0" borderId="0" xfId="0" applyFont="1" applyAlignment="1">
      <alignment horizontal="center" vertical="center"/>
    </xf>
    <xf numFmtId="0" fontId="55" fillId="7" borderId="0" xfId="0" applyFont="1" applyFill="1" applyAlignment="1">
      <alignment horizontal="center" vertical="center"/>
    </xf>
    <xf numFmtId="0" fontId="33" fillId="7" borderId="0" xfId="0" applyFont="1" applyFill="1" applyAlignment="1">
      <alignment horizontal="center" vertical="center"/>
    </xf>
    <xf numFmtId="0" fontId="47" fillId="0" borderId="0" xfId="0" applyFont="1" applyAlignment="1">
      <alignment horizontal="center" vertical="center"/>
    </xf>
    <xf numFmtId="0" fontId="47" fillId="7" borderId="0" xfId="0" applyFont="1" applyFill="1" applyAlignment="1">
      <alignment horizontal="center" vertical="center"/>
    </xf>
    <xf numFmtId="0" fontId="47" fillId="0" borderId="56" xfId="0" applyFont="1" applyBorder="1" applyAlignment="1">
      <alignment horizontal="center" vertical="center"/>
    </xf>
    <xf numFmtId="0" fontId="47" fillId="7" borderId="56" xfId="0" applyFont="1" applyFill="1" applyBorder="1" applyAlignment="1">
      <alignment horizontal="center" vertical="center"/>
    </xf>
    <xf numFmtId="0" fontId="65" fillId="0" borderId="54" xfId="0" applyFont="1" applyBorder="1" applyAlignment="1">
      <alignment horizontal="center" vertical="center" wrapText="1"/>
    </xf>
    <xf numFmtId="0" fontId="65" fillId="0" borderId="45" xfId="0" applyFont="1" applyBorder="1" applyAlignment="1">
      <alignment horizontal="center" vertical="center" wrapText="1"/>
    </xf>
    <xf numFmtId="0" fontId="65" fillId="7" borderId="43" xfId="0" applyFont="1" applyFill="1" applyBorder="1" applyAlignment="1">
      <alignment horizontal="center" vertical="center" wrapText="1"/>
    </xf>
    <xf numFmtId="0" fontId="65" fillId="7" borderId="42" xfId="0" applyFont="1" applyFill="1" applyBorder="1" applyAlignment="1">
      <alignment horizontal="center" vertical="center" wrapText="1"/>
    </xf>
    <xf numFmtId="0" fontId="65" fillId="0" borderId="43" xfId="0" applyFont="1" applyBorder="1" applyAlignment="1">
      <alignment horizontal="center" vertical="center" wrapText="1"/>
    </xf>
    <xf numFmtId="0" fontId="65" fillId="0" borderId="42" xfId="0" applyFont="1" applyBorder="1" applyAlignment="1">
      <alignment horizontal="center" vertical="center" wrapText="1"/>
    </xf>
    <xf numFmtId="0" fontId="65" fillId="0" borderId="43" xfId="0" applyFont="1" applyBorder="1" applyAlignment="1">
      <alignment horizontal="center" vertical="center" textRotation="90" wrapText="1"/>
    </xf>
    <xf numFmtId="0" fontId="65" fillId="0" borderId="42" xfId="0" applyFont="1" applyBorder="1" applyAlignment="1">
      <alignment horizontal="center" vertical="center" textRotation="90" wrapText="1"/>
    </xf>
    <xf numFmtId="0" fontId="65" fillId="0" borderId="46" xfId="0" applyFont="1" applyBorder="1" applyAlignment="1">
      <alignment horizontal="center" vertical="center" wrapText="1"/>
    </xf>
    <xf numFmtId="0" fontId="65" fillId="0" borderId="48" xfId="0" applyFont="1" applyBorder="1" applyAlignment="1">
      <alignment horizontal="center" vertical="center" wrapText="1"/>
    </xf>
    <xf numFmtId="0" fontId="65" fillId="7" borderId="43" xfId="0" applyFont="1" applyFill="1" applyBorder="1" applyAlignment="1">
      <alignment horizontal="center" vertical="center" textRotation="90" wrapText="1"/>
    </xf>
    <xf numFmtId="0" fontId="65" fillId="7" borderId="42" xfId="0" applyFont="1" applyFill="1" applyBorder="1" applyAlignment="1">
      <alignment horizontal="center" vertical="center" textRotation="90" wrapText="1"/>
    </xf>
    <xf numFmtId="0" fontId="65" fillId="7" borderId="46" xfId="0" applyFont="1" applyFill="1" applyBorder="1" applyAlignment="1">
      <alignment horizontal="center" vertical="center" wrapText="1"/>
    </xf>
    <xf numFmtId="0" fontId="65" fillId="7" borderId="47" xfId="0" applyFont="1" applyFill="1" applyBorder="1" applyAlignment="1">
      <alignment horizontal="center" vertical="center" wrapText="1"/>
    </xf>
    <xf numFmtId="0" fontId="65" fillId="7" borderId="48" xfId="0" applyFont="1" applyFill="1" applyBorder="1" applyAlignment="1">
      <alignment horizontal="center" vertical="center" wrapText="1"/>
    </xf>
    <xf numFmtId="0" fontId="24" fillId="7" borderId="43" xfId="0" applyFont="1" applyFill="1" applyBorder="1" applyAlignment="1">
      <alignment horizontal="center" vertical="center" wrapText="1"/>
    </xf>
    <xf numFmtId="0" fontId="24" fillId="7" borderId="42" xfId="0" applyFont="1" applyFill="1" applyBorder="1" applyAlignment="1">
      <alignment horizontal="center" vertical="center" wrapText="1"/>
    </xf>
    <xf numFmtId="0" fontId="5" fillId="2" borderId="57" xfId="0" applyFont="1" applyFill="1" applyBorder="1" applyAlignment="1">
      <alignment horizontal="center" vertical="center" wrapText="1"/>
    </xf>
    <xf numFmtId="0" fontId="5" fillId="2" borderId="58"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59"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0" borderId="59"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7" xfId="0" applyFont="1" applyBorder="1" applyAlignment="1">
      <alignment horizontal="center" vertical="center" wrapText="1"/>
    </xf>
    <xf numFmtId="0" fontId="5" fillId="0" borderId="11" xfId="0" applyFont="1" applyBorder="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19" fillId="0" borderId="0" xfId="0" applyFont="1" applyAlignment="1">
      <alignment horizontal="center" vertical="center"/>
    </xf>
    <xf numFmtId="0" fontId="4" fillId="0" borderId="0" xfId="0" applyFont="1" applyAlignment="1">
      <alignment horizontal="center" vertical="center"/>
    </xf>
    <xf numFmtId="0" fontId="3" fillId="0" borderId="56" xfId="0" applyFont="1" applyBorder="1" applyAlignment="1">
      <alignment horizontal="center" vertical="center"/>
    </xf>
    <xf numFmtId="0" fontId="12" fillId="0" borderId="0" xfId="0" applyFont="1" applyAlignment="1">
      <alignment horizontal="center" vertical="center"/>
    </xf>
    <xf numFmtId="0" fontId="5" fillId="0" borderId="58" xfId="0" applyFont="1" applyBorder="1" applyAlignment="1">
      <alignment horizontal="center" vertical="center" wrapText="1"/>
    </xf>
    <xf numFmtId="0" fontId="8" fillId="0" borderId="0" xfId="0" applyFont="1" applyAlignment="1">
      <alignment horizontal="left" vertical="center" wrapText="1"/>
    </xf>
    <xf numFmtId="0" fontId="4" fillId="0" borderId="56" xfId="0" applyFont="1" applyBorder="1" applyAlignment="1">
      <alignment horizontal="center" vertical="center"/>
    </xf>
    <xf numFmtId="0" fontId="8" fillId="0" borderId="59" xfId="0" applyFont="1" applyBorder="1" applyAlignment="1">
      <alignment horizontal="center" vertical="center" wrapText="1"/>
    </xf>
    <xf numFmtId="0" fontId="8" fillId="0" borderId="2" xfId="0" applyFont="1" applyBorder="1" applyAlignment="1">
      <alignment horizontal="center" vertical="center" wrapText="1"/>
    </xf>
    <xf numFmtId="0" fontId="8" fillId="0" borderId="57" xfId="0" applyFont="1" applyBorder="1" applyAlignment="1">
      <alignment horizontal="center" vertical="center" wrapText="1"/>
    </xf>
    <xf numFmtId="0" fontId="8" fillId="0" borderId="58" xfId="0" applyFont="1" applyBorder="1" applyAlignment="1">
      <alignment horizontal="center" vertical="center" wrapText="1"/>
    </xf>
    <xf numFmtId="0" fontId="8" fillId="0" borderId="11"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2" xfId="0" applyFont="1" applyBorder="1" applyAlignment="1">
      <alignment horizontal="center" vertical="center" wrapText="1"/>
    </xf>
    <xf numFmtId="0" fontId="6" fillId="0" borderId="57" xfId="0" applyFont="1" applyBorder="1" applyAlignment="1">
      <alignment horizontal="center" vertical="center" wrapText="1"/>
    </xf>
    <xf numFmtId="0" fontId="6" fillId="0" borderId="58" xfId="0" applyFont="1" applyBorder="1" applyAlignment="1">
      <alignment horizontal="center" vertical="center" wrapText="1"/>
    </xf>
    <xf numFmtId="0" fontId="6" fillId="0" borderId="11" xfId="0" applyFont="1" applyBorder="1" applyAlignment="1">
      <alignment horizontal="center" vertical="center" wrapText="1"/>
    </xf>
  </cellXfs>
  <cellStyles count="16">
    <cellStyle name="Comma" xfId="1" builtinId="3"/>
    <cellStyle name="Comma 2" xfId="2" xr:uid="{00000000-0005-0000-0000-000001000000}"/>
    <cellStyle name="Comma 2 2" xfId="3" xr:uid="{00000000-0005-0000-0000-000002000000}"/>
    <cellStyle name="Comma 3" xfId="4" xr:uid="{00000000-0005-0000-0000-000003000000}"/>
    <cellStyle name="Comma 3 2" xfId="5" xr:uid="{00000000-0005-0000-0000-000004000000}"/>
    <cellStyle name="Comma 4" xfId="6" xr:uid="{00000000-0005-0000-0000-000005000000}"/>
    <cellStyle name="Comma 4 2" xfId="7" xr:uid="{00000000-0005-0000-0000-000006000000}"/>
    <cellStyle name="Comma 5" xfId="15" xr:uid="{00000000-0005-0000-0000-000007000000}"/>
    <cellStyle name="Currency 2" xfId="8" xr:uid="{00000000-0005-0000-0000-000008000000}"/>
    <cellStyle name="Currency 3" xfId="9" xr:uid="{00000000-0005-0000-0000-000009000000}"/>
    <cellStyle name="Normal" xfId="0" builtinId="0"/>
    <cellStyle name="Normal 2" xfId="10" xr:uid="{00000000-0005-0000-0000-00000B000000}"/>
    <cellStyle name="Normal 3" xfId="11" xr:uid="{00000000-0005-0000-0000-00000C000000}"/>
    <cellStyle name="Percent" xfId="12" builtinId="5"/>
    <cellStyle name="Percent 2" xfId="13" xr:uid="{00000000-0005-0000-0000-00000E000000}"/>
    <cellStyle name="Percent 3" xfId="14" xr:uid="{00000000-0005-0000-0000-00000F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xdr:col>
      <xdr:colOff>925286</xdr:colOff>
      <xdr:row>0</xdr:row>
      <xdr:rowOff>506427</xdr:rowOff>
    </xdr:from>
    <xdr:to>
      <xdr:col>1</xdr:col>
      <xdr:colOff>1619250</xdr:colOff>
      <xdr:row>0</xdr:row>
      <xdr:rowOff>506427</xdr:rowOff>
    </xdr:to>
    <xdr:cxnSp macro="">
      <xdr:nvCxnSpPr>
        <xdr:cNvPr id="4" name="Straight Connector 3">
          <a:extLst>
            <a:ext uri="{FF2B5EF4-FFF2-40B4-BE49-F238E27FC236}">
              <a16:creationId xmlns:a16="http://schemas.microsoft.com/office/drawing/2014/main" id="{63DF4286-E569-319E-D774-28ED5119771B}"/>
            </a:ext>
          </a:extLst>
        </xdr:cNvPr>
        <xdr:cNvCxnSpPr/>
      </xdr:nvCxnSpPr>
      <xdr:spPr>
        <a:xfrm>
          <a:off x="1279072" y="506427"/>
          <a:ext cx="69396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108-Tinh%20Gi&#7843;n%20Bi&#234;n%20Ch&#7871;\N&#259;m%202019\&#272;&#7907;t%201%20n&#259;m%202019\B&#225;o%20c&#225;o%2006%20th&#225;ng%20&#273;&#7847;u%20n&#259;m\Bi&#7875;u%20b&#225;o%20c&#225;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ông báo"/>
      <sheetName val="2-Tống hợp"/>
      <sheetName val="1a- Nghỉ hưu trước tuổi-T01"/>
      <sheetName val="Thôi việc ngay"/>
      <sheetName val="1B"/>
      <sheetName val="2B"/>
      <sheetName val="3B"/>
      <sheetName val="1c-Thôi việc ngay "/>
      <sheetName val="1a-Nghỉ hưu trước tuổi"/>
      <sheetName val="1a-Trình BNV"/>
      <sheetName val="1c-Trình BNV"/>
      <sheetName val="2-Trình BNV"/>
      <sheetName val="1b-Chuyển sang tổ chức"/>
      <sheetName val="1d-Thôi việc sau khi đi học"/>
      <sheetName val="3-Báo cáo"/>
      <sheetName val="4-Báo cáo"/>
      <sheetName val="5-Báo cáo"/>
    </sheetNames>
    <sheetDataSet>
      <sheetData sheetId="0"/>
      <sheetData sheetId="1"/>
      <sheetData sheetId="2">
        <row r="17">
          <cell r="AK17">
            <v>4474978531</v>
          </cell>
        </row>
      </sheetData>
      <sheetData sheetId="3">
        <row r="16">
          <cell r="AJ16">
            <v>105775905</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95"/>
  <sheetViews>
    <sheetView topLeftCell="A12" workbookViewId="0">
      <selection activeCell="Y28" sqref="Y28:AA66"/>
    </sheetView>
  </sheetViews>
  <sheetFormatPr defaultRowHeight="15" x14ac:dyDescent="0.25"/>
  <cols>
    <col min="1" max="1" width="1.28515625" customWidth="1"/>
    <col min="2" max="2" width="3.28515625" customWidth="1"/>
    <col min="3" max="3" width="28.7109375" customWidth="1"/>
    <col min="4" max="4" width="9.140625" hidden="1" customWidth="1"/>
    <col min="5" max="5" width="4.85546875" hidden="1" customWidth="1"/>
    <col min="6" max="6" width="19.42578125" hidden="1" customWidth="1"/>
    <col min="7" max="7" width="5" hidden="1" customWidth="1"/>
    <col min="8" max="8" width="9.140625" hidden="1" customWidth="1"/>
    <col min="9" max="9" width="4.28515625" hidden="1" customWidth="1"/>
    <col min="10" max="10" width="12.85546875" hidden="1" customWidth="1"/>
    <col min="11" max="11" width="6.140625" hidden="1" customWidth="1"/>
    <col min="12" max="12" width="9.7109375" hidden="1" customWidth="1"/>
    <col min="13" max="13" width="4.28515625" hidden="1" customWidth="1"/>
    <col min="14" max="14" width="9.140625" hidden="1" customWidth="1"/>
    <col min="15" max="15" width="3.7109375" hidden="1" customWidth="1"/>
    <col min="16" max="16" width="9.140625" hidden="1" customWidth="1"/>
    <col min="17" max="17" width="4.42578125" hidden="1" customWidth="1"/>
    <col min="18" max="18" width="10" hidden="1" customWidth="1"/>
    <col min="19" max="19" width="11.7109375" style="358" hidden="1" customWidth="1"/>
    <col min="20" max="20" width="12.28515625" style="359" hidden="1" customWidth="1"/>
    <col min="21" max="21" width="6.7109375" hidden="1" customWidth="1"/>
    <col min="22" max="22" width="10" hidden="1" customWidth="1"/>
    <col min="23" max="23" width="10.28515625" style="20" hidden="1" customWidth="1"/>
    <col min="24" max="24" width="6.5703125" hidden="1" customWidth="1"/>
    <col min="25" max="28" width="13.5703125" customWidth="1"/>
    <col min="29" max="29" width="12.140625" style="77" customWidth="1"/>
    <col min="30" max="30" width="18.140625" customWidth="1"/>
    <col min="31" max="31" width="18.140625" style="360" customWidth="1"/>
    <col min="32" max="32" width="32.140625" customWidth="1"/>
    <col min="34" max="34" width="11.7109375" customWidth="1"/>
    <col min="35" max="35" width="11.5703125" customWidth="1"/>
  </cols>
  <sheetData>
    <row r="1" spans="2:43" s="217" customFormat="1" ht="19.5" customHeight="1" x14ac:dyDescent="0.25">
      <c r="B1" s="652"/>
      <c r="C1" s="652"/>
      <c r="D1" s="652"/>
      <c r="E1" s="652"/>
      <c r="F1" s="216"/>
      <c r="G1" s="216"/>
      <c r="H1" s="216"/>
      <c r="I1" s="216"/>
      <c r="J1" s="216"/>
      <c r="K1" s="216"/>
      <c r="L1" s="216"/>
      <c r="M1" s="216"/>
      <c r="N1" s="216"/>
      <c r="O1" s="216"/>
      <c r="P1" s="216"/>
      <c r="Q1" s="216"/>
      <c r="R1" s="216"/>
      <c r="S1" s="287"/>
      <c r="T1" s="288"/>
      <c r="U1" s="216"/>
      <c r="V1" s="216"/>
      <c r="W1" s="289"/>
      <c r="X1" s="653" t="s">
        <v>497</v>
      </c>
      <c r="Y1" s="653"/>
      <c r="Z1" s="653"/>
      <c r="AA1" s="653"/>
      <c r="AB1" s="653"/>
      <c r="AC1" s="653"/>
      <c r="AD1" s="653"/>
      <c r="AE1" s="653"/>
      <c r="AF1" s="653"/>
      <c r="AG1" s="216"/>
      <c r="AH1" s="216"/>
      <c r="AI1" s="216"/>
      <c r="AJ1" s="216"/>
      <c r="AK1" s="216"/>
      <c r="AL1" s="216"/>
      <c r="AM1" s="216"/>
      <c r="AN1" s="216"/>
      <c r="AO1" s="216"/>
      <c r="AP1" s="216"/>
      <c r="AQ1" s="216"/>
    </row>
    <row r="2" spans="2:43" s="290" customFormat="1" ht="18.75" hidden="1" x14ac:dyDescent="0.3">
      <c r="B2" s="654" t="s">
        <v>232</v>
      </c>
      <c r="C2" s="654"/>
      <c r="D2" s="654"/>
      <c r="E2" s="654"/>
      <c r="F2" s="291"/>
      <c r="G2" s="291"/>
      <c r="H2" s="291"/>
      <c r="I2" s="291"/>
      <c r="J2" s="291"/>
      <c r="K2" s="291"/>
      <c r="L2" s="291"/>
      <c r="M2" s="291"/>
      <c r="N2" s="291"/>
      <c r="O2" s="291"/>
      <c r="P2" s="655"/>
      <c r="Q2" s="655"/>
      <c r="R2" s="655"/>
      <c r="S2" s="655"/>
      <c r="T2" s="655"/>
      <c r="U2" s="655"/>
      <c r="V2" s="655"/>
      <c r="W2" s="655"/>
      <c r="X2" s="655"/>
      <c r="Y2" s="655"/>
      <c r="Z2" s="655"/>
      <c r="AA2" s="655"/>
      <c r="AB2" s="655"/>
      <c r="AC2" s="655"/>
      <c r="AD2" s="655"/>
      <c r="AE2" s="655"/>
      <c r="AF2" s="655"/>
      <c r="AG2" s="291"/>
      <c r="AH2" s="291"/>
      <c r="AI2" s="291"/>
      <c r="AJ2" s="291"/>
      <c r="AK2" s="291"/>
      <c r="AL2" s="291"/>
      <c r="AM2" s="291"/>
      <c r="AN2" s="291"/>
      <c r="AO2" s="291"/>
      <c r="AP2" s="291"/>
      <c r="AQ2" s="291"/>
    </row>
    <row r="3" spans="2:43" s="290" customFormat="1" ht="18.75" hidden="1" x14ac:dyDescent="0.3">
      <c r="B3" s="656" t="s">
        <v>233</v>
      </c>
      <c r="C3" s="656"/>
      <c r="D3" s="656"/>
      <c r="E3" s="656"/>
      <c r="F3" s="291"/>
      <c r="G3" s="291"/>
      <c r="H3" s="291"/>
      <c r="I3" s="291"/>
      <c r="J3" s="291"/>
      <c r="K3" s="291"/>
      <c r="L3" s="291"/>
      <c r="M3" s="291"/>
      <c r="N3" s="291"/>
      <c r="O3" s="291"/>
      <c r="P3" s="656"/>
      <c r="Q3" s="656"/>
      <c r="R3" s="656"/>
      <c r="S3" s="656"/>
      <c r="T3" s="656"/>
      <c r="U3" s="656"/>
      <c r="V3" s="656"/>
      <c r="W3" s="656"/>
      <c r="X3" s="656"/>
      <c r="Y3" s="656"/>
      <c r="Z3" s="656"/>
      <c r="AA3" s="656"/>
      <c r="AB3" s="656"/>
      <c r="AC3" s="656"/>
      <c r="AD3" s="656"/>
      <c r="AE3" s="656"/>
      <c r="AF3" s="656"/>
      <c r="AG3" s="291"/>
      <c r="AH3" s="291"/>
      <c r="AI3" s="291"/>
      <c r="AJ3" s="291"/>
      <c r="AK3" s="291"/>
      <c r="AL3" s="291"/>
      <c r="AM3" s="291"/>
      <c r="AN3" s="291"/>
      <c r="AO3" s="291"/>
      <c r="AP3" s="291"/>
      <c r="AQ3" s="291"/>
    </row>
    <row r="4" spans="2:43" s="290" customFormat="1" ht="18.75" x14ac:dyDescent="0.3">
      <c r="B4" s="655" t="s">
        <v>498</v>
      </c>
      <c r="C4" s="655"/>
      <c r="D4" s="655"/>
      <c r="E4" s="655"/>
      <c r="F4" s="291"/>
      <c r="G4" s="291"/>
      <c r="H4" s="291"/>
      <c r="I4" s="291"/>
      <c r="J4" s="291"/>
      <c r="K4" s="291"/>
      <c r="L4" s="291"/>
      <c r="M4" s="291"/>
      <c r="N4" s="291"/>
      <c r="O4" s="291"/>
      <c r="P4" s="655" t="s">
        <v>383</v>
      </c>
      <c r="Q4" s="655"/>
      <c r="R4" s="655"/>
      <c r="S4" s="655"/>
      <c r="T4" s="655"/>
      <c r="U4" s="655"/>
      <c r="V4" s="655"/>
      <c r="W4" s="655"/>
      <c r="X4" s="655"/>
      <c r="Y4" s="655"/>
      <c r="Z4" s="655"/>
      <c r="AA4" s="655"/>
      <c r="AB4" s="655"/>
      <c r="AC4" s="655"/>
      <c r="AD4" s="655"/>
      <c r="AE4" s="655"/>
      <c r="AF4" s="655"/>
      <c r="AG4" s="291"/>
      <c r="AH4" s="291"/>
      <c r="AI4" s="291"/>
      <c r="AJ4" s="291"/>
      <c r="AK4" s="291"/>
      <c r="AL4" s="291"/>
      <c r="AM4" s="291"/>
      <c r="AN4" s="291"/>
      <c r="AO4" s="291"/>
      <c r="AP4" s="291"/>
      <c r="AQ4" s="291"/>
    </row>
    <row r="5" spans="2:43" s="290" customFormat="1" ht="18.75" x14ac:dyDescent="0.3">
      <c r="B5" s="656" t="s">
        <v>135</v>
      </c>
      <c r="C5" s="656"/>
      <c r="D5" s="656"/>
      <c r="E5" s="656"/>
      <c r="F5" s="291"/>
      <c r="G5" s="291"/>
      <c r="H5" s="291"/>
      <c r="I5" s="291"/>
      <c r="J5" s="291"/>
      <c r="K5" s="291"/>
      <c r="L5" s="291"/>
      <c r="M5" s="291"/>
      <c r="N5" s="291"/>
      <c r="O5" s="291"/>
      <c r="P5" s="656" t="s">
        <v>384</v>
      </c>
      <c r="Q5" s="656"/>
      <c r="R5" s="656"/>
      <c r="S5" s="656"/>
      <c r="T5" s="656"/>
      <c r="U5" s="656"/>
      <c r="V5" s="656"/>
      <c r="W5" s="656"/>
      <c r="X5" s="656"/>
      <c r="Y5" s="656"/>
      <c r="Z5" s="656"/>
      <c r="AA5" s="656"/>
      <c r="AB5" s="656"/>
      <c r="AC5" s="656"/>
      <c r="AD5" s="656"/>
      <c r="AE5" s="656"/>
      <c r="AF5" s="656"/>
      <c r="AG5" s="291"/>
      <c r="AH5" s="291"/>
      <c r="AI5" s="291"/>
      <c r="AJ5" s="291"/>
      <c r="AK5" s="291"/>
      <c r="AL5" s="291"/>
      <c r="AM5" s="291"/>
      <c r="AN5" s="291"/>
      <c r="AO5" s="291"/>
      <c r="AP5" s="291"/>
      <c r="AQ5" s="291"/>
    </row>
    <row r="6" spans="2:43" s="290" customFormat="1" ht="19.5" customHeight="1" x14ac:dyDescent="0.3">
      <c r="B6" s="292"/>
      <c r="C6" s="292"/>
      <c r="D6" s="292"/>
      <c r="E6" s="292"/>
      <c r="F6" s="291"/>
      <c r="G6" s="291"/>
      <c r="H6" s="291"/>
      <c r="I6" s="291"/>
      <c r="J6" s="291"/>
      <c r="K6" s="291"/>
      <c r="L6" s="291"/>
      <c r="M6" s="291"/>
      <c r="N6" s="291"/>
      <c r="O6" s="291"/>
      <c r="P6" s="291"/>
      <c r="Q6" s="291"/>
      <c r="R6" s="291"/>
      <c r="S6" s="293"/>
      <c r="T6" s="294"/>
      <c r="U6" s="291"/>
      <c r="V6" s="291"/>
      <c r="W6" s="295"/>
      <c r="X6" s="292"/>
      <c r="Y6" s="292"/>
      <c r="Z6" s="292"/>
      <c r="AA6" s="292"/>
      <c r="AB6" s="292"/>
      <c r="AC6" s="292"/>
      <c r="AD6" s="292"/>
      <c r="AE6" s="292"/>
      <c r="AF6" s="292"/>
      <c r="AG6" s="291"/>
      <c r="AH6" s="291"/>
      <c r="AI6" s="291"/>
      <c r="AJ6" s="291"/>
      <c r="AK6" s="291"/>
      <c r="AL6" s="291"/>
      <c r="AM6" s="291"/>
      <c r="AN6" s="291"/>
      <c r="AO6" s="291"/>
      <c r="AP6" s="291"/>
      <c r="AQ6" s="291"/>
    </row>
    <row r="7" spans="2:43" s="296" customFormat="1" ht="21" customHeight="1" x14ac:dyDescent="0.25">
      <c r="B7" s="655" t="s">
        <v>636</v>
      </c>
      <c r="C7" s="655"/>
      <c r="D7" s="655"/>
      <c r="E7" s="655"/>
      <c r="F7" s="655"/>
      <c r="G7" s="655"/>
      <c r="H7" s="655"/>
      <c r="I7" s="655"/>
      <c r="J7" s="655"/>
      <c r="K7" s="655"/>
      <c r="L7" s="655"/>
      <c r="M7" s="655"/>
      <c r="N7" s="655"/>
      <c r="O7" s="655"/>
      <c r="P7" s="655"/>
      <c r="Q7" s="655"/>
      <c r="R7" s="655"/>
      <c r="S7" s="655"/>
      <c r="T7" s="655"/>
      <c r="U7" s="655"/>
      <c r="V7" s="655"/>
      <c r="W7" s="655"/>
      <c r="X7" s="655"/>
      <c r="Y7" s="655"/>
      <c r="Z7" s="655"/>
      <c r="AA7" s="655"/>
      <c r="AB7" s="655"/>
      <c r="AC7" s="655"/>
      <c r="AD7" s="655"/>
      <c r="AE7" s="655"/>
      <c r="AF7" s="655"/>
    </row>
    <row r="8" spans="2:43" s="297" customFormat="1" ht="16.5" customHeight="1" x14ac:dyDescent="0.3">
      <c r="B8" s="648" t="s">
        <v>435</v>
      </c>
      <c r="C8" s="648"/>
      <c r="D8" s="648"/>
      <c r="E8" s="648"/>
      <c r="F8" s="648"/>
      <c r="G8" s="648"/>
      <c r="H8" s="648"/>
      <c r="I8" s="648"/>
      <c r="J8" s="648"/>
      <c r="K8" s="648"/>
      <c r="L8" s="648"/>
      <c r="M8" s="648"/>
      <c r="N8" s="648"/>
      <c r="O8" s="648"/>
      <c r="P8" s="648"/>
      <c r="Q8" s="648"/>
      <c r="R8" s="648"/>
      <c r="S8" s="648"/>
      <c r="T8" s="648"/>
      <c r="U8" s="648"/>
      <c r="V8" s="648"/>
      <c r="W8" s="648"/>
      <c r="X8" s="648"/>
      <c r="Y8" s="648"/>
      <c r="Z8" s="648"/>
      <c r="AA8" s="648"/>
      <c r="AB8" s="648"/>
      <c r="AC8" s="648"/>
      <c r="AD8" s="648"/>
      <c r="AE8" s="648"/>
      <c r="AF8" s="648"/>
    </row>
    <row r="9" spans="2:43" s="297" customFormat="1" ht="17.25" hidden="1" x14ac:dyDescent="0.3">
      <c r="B9" s="647" t="s">
        <v>499</v>
      </c>
      <c r="C9" s="647"/>
      <c r="D9" s="647"/>
      <c r="E9" s="647"/>
      <c r="F9" s="647"/>
      <c r="G9" s="647"/>
      <c r="H9" s="647"/>
      <c r="I9" s="647"/>
      <c r="J9" s="647"/>
      <c r="K9" s="647"/>
      <c r="L9" s="647"/>
      <c r="M9" s="647"/>
      <c r="N9" s="647"/>
      <c r="O9" s="647"/>
      <c r="P9" s="647"/>
      <c r="Q9" s="647"/>
      <c r="R9" s="647"/>
      <c r="S9" s="647"/>
      <c r="T9" s="647"/>
      <c r="U9" s="647"/>
      <c r="V9" s="647"/>
      <c r="W9" s="647"/>
      <c r="X9" s="647"/>
      <c r="Y9" s="647"/>
      <c r="Z9" s="647"/>
      <c r="AA9" s="647"/>
      <c r="AB9" s="647"/>
      <c r="AC9" s="647"/>
      <c r="AD9" s="647"/>
      <c r="AE9" s="647"/>
      <c r="AF9" s="647"/>
    </row>
    <row r="10" spans="2:43" s="297" customFormat="1" ht="17.25" hidden="1" x14ac:dyDescent="0.3">
      <c r="B10" s="648" t="s">
        <v>500</v>
      </c>
      <c r="C10" s="648"/>
      <c r="D10" s="648"/>
      <c r="E10" s="648"/>
      <c r="F10" s="648"/>
      <c r="G10" s="648"/>
      <c r="H10" s="648"/>
      <c r="I10" s="648"/>
      <c r="J10" s="648"/>
      <c r="K10" s="648"/>
      <c r="L10" s="648"/>
      <c r="M10" s="648"/>
      <c r="N10" s="648"/>
      <c r="O10" s="648"/>
      <c r="P10" s="648"/>
      <c r="Q10" s="648"/>
      <c r="R10" s="648"/>
      <c r="S10" s="648"/>
      <c r="T10" s="648"/>
      <c r="U10" s="648"/>
      <c r="V10" s="648"/>
      <c r="W10" s="648"/>
      <c r="X10" s="648"/>
      <c r="Y10" s="648"/>
      <c r="Z10" s="648"/>
      <c r="AA10" s="648"/>
      <c r="AB10" s="648"/>
      <c r="AC10" s="648"/>
      <c r="AD10" s="648"/>
      <c r="AE10" s="648"/>
      <c r="AF10" s="648"/>
    </row>
    <row r="11" spans="2:43" s="297" customFormat="1" ht="17.25" hidden="1" x14ac:dyDescent="0.3">
      <c r="B11" s="647" t="s">
        <v>642</v>
      </c>
      <c r="C11" s="647"/>
      <c r="D11" s="647"/>
      <c r="E11" s="647"/>
      <c r="F11" s="647"/>
      <c r="G11" s="647"/>
      <c r="H11" s="647"/>
      <c r="I11" s="647"/>
      <c r="J11" s="647"/>
      <c r="K11" s="647"/>
      <c r="L11" s="647"/>
      <c r="M11" s="647"/>
      <c r="N11" s="647"/>
      <c r="O11" s="647"/>
      <c r="P11" s="647"/>
      <c r="Q11" s="647"/>
      <c r="R11" s="647"/>
      <c r="S11" s="647"/>
      <c r="T11" s="647"/>
      <c r="U11" s="647"/>
      <c r="V11" s="647"/>
      <c r="W11" s="647"/>
      <c r="X11" s="647"/>
      <c r="Y11" s="647"/>
      <c r="Z11" s="647"/>
      <c r="AA11" s="647"/>
      <c r="AB11" s="647"/>
      <c r="AC11" s="647"/>
      <c r="AD11" s="647"/>
      <c r="AE11" s="647"/>
      <c r="AF11" s="647"/>
    </row>
    <row r="12" spans="2:43" s="297" customFormat="1" ht="17.25" x14ac:dyDescent="0.3">
      <c r="B12" s="647" t="s">
        <v>643</v>
      </c>
      <c r="C12" s="647"/>
      <c r="D12" s="647"/>
      <c r="E12" s="647"/>
      <c r="F12" s="647"/>
      <c r="G12" s="647"/>
      <c r="H12" s="647"/>
      <c r="I12" s="647"/>
      <c r="J12" s="647"/>
      <c r="K12" s="647"/>
      <c r="L12" s="647"/>
      <c r="M12" s="647"/>
      <c r="N12" s="647"/>
      <c r="O12" s="647"/>
      <c r="P12" s="647"/>
      <c r="Q12" s="647"/>
      <c r="R12" s="647"/>
      <c r="S12" s="647"/>
      <c r="T12" s="647"/>
      <c r="U12" s="647"/>
      <c r="V12" s="647"/>
      <c r="W12" s="647"/>
      <c r="X12" s="647"/>
      <c r="Y12" s="647"/>
      <c r="Z12" s="647"/>
      <c r="AA12" s="647"/>
      <c r="AB12" s="647"/>
      <c r="AC12" s="647"/>
      <c r="AD12" s="647"/>
      <c r="AE12" s="647"/>
      <c r="AF12" s="647"/>
    </row>
    <row r="13" spans="2:43" s="297" customFormat="1" ht="19.5" customHeight="1" thickBot="1" x14ac:dyDescent="0.35">
      <c r="B13" s="648"/>
      <c r="C13" s="648"/>
      <c r="D13" s="648"/>
      <c r="E13" s="648"/>
      <c r="F13" s="648"/>
      <c r="G13" s="648"/>
      <c r="H13" s="648"/>
      <c r="I13" s="648"/>
      <c r="J13" s="648"/>
      <c r="K13" s="648"/>
      <c r="L13" s="648"/>
      <c r="M13" s="648"/>
      <c r="N13" s="648"/>
      <c r="O13" s="648"/>
      <c r="P13" s="648"/>
      <c r="Q13" s="648"/>
      <c r="R13" s="648"/>
      <c r="S13" s="648"/>
      <c r="T13" s="648"/>
      <c r="U13" s="648"/>
      <c r="V13" s="648"/>
      <c r="W13" s="648"/>
      <c r="X13" s="648"/>
      <c r="Y13" s="648"/>
      <c r="Z13" s="648"/>
      <c r="AA13" s="648"/>
      <c r="AB13" s="648"/>
      <c r="AC13" s="648"/>
      <c r="AD13" s="648"/>
      <c r="AE13" s="648"/>
      <c r="AF13" s="648"/>
    </row>
    <row r="14" spans="2:43" s="218" customFormat="1" ht="22.5" customHeight="1" x14ac:dyDescent="0.25">
      <c r="B14" s="649" t="s">
        <v>3</v>
      </c>
      <c r="C14" s="636" t="s">
        <v>4</v>
      </c>
      <c r="D14" s="645" t="s">
        <v>5</v>
      </c>
      <c r="E14" s="645" t="s">
        <v>6</v>
      </c>
      <c r="F14" s="645" t="s">
        <v>7</v>
      </c>
      <c r="G14" s="645" t="s">
        <v>8</v>
      </c>
      <c r="H14" s="645"/>
      <c r="I14" s="645" t="s">
        <v>9</v>
      </c>
      <c r="J14" s="645"/>
      <c r="K14" s="645" t="s">
        <v>10</v>
      </c>
      <c r="L14" s="645"/>
      <c r="M14" s="645" t="s">
        <v>11</v>
      </c>
      <c r="N14" s="645"/>
      <c r="O14" s="645" t="s">
        <v>12</v>
      </c>
      <c r="P14" s="645"/>
      <c r="Q14" s="645" t="s">
        <v>13</v>
      </c>
      <c r="R14" s="645"/>
      <c r="S14" s="637" t="s">
        <v>98</v>
      </c>
      <c r="T14" s="639" t="s">
        <v>242</v>
      </c>
      <c r="U14" s="641" t="s">
        <v>14</v>
      </c>
      <c r="V14" s="642"/>
      <c r="W14" s="643" t="s">
        <v>15</v>
      </c>
      <c r="X14" s="645" t="s">
        <v>16</v>
      </c>
      <c r="Y14" s="636" t="s">
        <v>76</v>
      </c>
      <c r="Z14" s="636"/>
      <c r="AA14" s="636"/>
      <c r="AB14" s="636"/>
      <c r="AC14" s="625" t="s">
        <v>501</v>
      </c>
      <c r="AD14" s="626"/>
      <c r="AE14" s="627"/>
      <c r="AF14" s="628" t="s">
        <v>17</v>
      </c>
    </row>
    <row r="15" spans="2:43" s="218" customFormat="1" ht="72" customHeight="1" x14ac:dyDescent="0.25">
      <c r="B15" s="650"/>
      <c r="C15" s="651"/>
      <c r="D15" s="646"/>
      <c r="E15" s="646"/>
      <c r="F15" s="646"/>
      <c r="G15" s="222" t="s">
        <v>18</v>
      </c>
      <c r="H15" s="222" t="s">
        <v>19</v>
      </c>
      <c r="I15" s="222" t="s">
        <v>20</v>
      </c>
      <c r="J15" s="222" t="s">
        <v>19</v>
      </c>
      <c r="K15" s="222" t="s">
        <v>21</v>
      </c>
      <c r="L15" s="222" t="s">
        <v>19</v>
      </c>
      <c r="M15" s="222" t="s">
        <v>21</v>
      </c>
      <c r="N15" s="222" t="s">
        <v>19</v>
      </c>
      <c r="O15" s="222" t="s">
        <v>20</v>
      </c>
      <c r="P15" s="222" t="s">
        <v>19</v>
      </c>
      <c r="Q15" s="222" t="s">
        <v>20</v>
      </c>
      <c r="R15" s="222" t="s">
        <v>19</v>
      </c>
      <c r="S15" s="638"/>
      <c r="T15" s="640"/>
      <c r="U15" s="222" t="s">
        <v>22</v>
      </c>
      <c r="V15" s="222" t="s">
        <v>23</v>
      </c>
      <c r="W15" s="644"/>
      <c r="X15" s="646"/>
      <c r="Y15" s="362" t="s">
        <v>78</v>
      </c>
      <c r="Z15" s="362" t="s">
        <v>79</v>
      </c>
      <c r="AA15" s="362" t="s">
        <v>80</v>
      </c>
      <c r="AB15" s="362" t="s">
        <v>81</v>
      </c>
      <c r="AC15" s="286" t="s">
        <v>22</v>
      </c>
      <c r="AD15" s="363" t="s">
        <v>502</v>
      </c>
      <c r="AE15" s="363" t="s">
        <v>503</v>
      </c>
      <c r="AF15" s="629"/>
    </row>
    <row r="16" spans="2:43" s="298" customFormat="1" ht="12" x14ac:dyDescent="0.2">
      <c r="B16" s="258" t="s">
        <v>28</v>
      </c>
      <c r="C16" s="223" t="s">
        <v>359</v>
      </c>
      <c r="D16" s="223">
        <v>1</v>
      </c>
      <c r="E16" s="223">
        <v>2</v>
      </c>
      <c r="F16" s="223">
        <v>3</v>
      </c>
      <c r="G16" s="223">
        <v>4</v>
      </c>
      <c r="H16" s="223">
        <v>5</v>
      </c>
      <c r="I16" s="223">
        <v>6</v>
      </c>
      <c r="J16" s="223">
        <v>7</v>
      </c>
      <c r="K16" s="223">
        <v>8</v>
      </c>
      <c r="L16" s="223">
        <v>9</v>
      </c>
      <c r="M16" s="223">
        <v>10</v>
      </c>
      <c r="N16" s="223">
        <v>11</v>
      </c>
      <c r="O16" s="223">
        <v>12</v>
      </c>
      <c r="P16" s="223">
        <v>13</v>
      </c>
      <c r="Q16" s="223">
        <v>14</v>
      </c>
      <c r="R16" s="223">
        <v>15</v>
      </c>
      <c r="S16" s="299">
        <v>16</v>
      </c>
      <c r="T16" s="300">
        <v>17</v>
      </c>
      <c r="U16" s="223">
        <v>18</v>
      </c>
      <c r="V16" s="223">
        <v>19</v>
      </c>
      <c r="W16" s="223">
        <v>20</v>
      </c>
      <c r="X16" s="223">
        <v>21</v>
      </c>
      <c r="Y16" s="223">
        <v>1</v>
      </c>
      <c r="Z16" s="223">
        <v>2</v>
      </c>
      <c r="AA16" s="223">
        <v>3</v>
      </c>
      <c r="AB16" s="223">
        <v>4</v>
      </c>
      <c r="AC16" s="223">
        <v>5</v>
      </c>
      <c r="AD16" s="223">
        <v>6</v>
      </c>
      <c r="AE16" s="223">
        <v>7</v>
      </c>
      <c r="AF16" s="259">
        <v>8</v>
      </c>
    </row>
    <row r="17" spans="1:35" s="298" customFormat="1" ht="24.75" hidden="1" customHeight="1" x14ac:dyDescent="0.2">
      <c r="B17" s="301" t="s">
        <v>28</v>
      </c>
      <c r="C17" s="302" t="s">
        <v>361</v>
      </c>
      <c r="D17" s="303"/>
      <c r="E17" s="303" t="str">
        <f>COUNTA(D19:D54)&amp;" HỒ SƠ"</f>
        <v>35 HỒ SƠ</v>
      </c>
      <c r="F17" s="304"/>
      <c r="G17" s="304"/>
      <c r="H17" s="304"/>
      <c r="I17" s="304"/>
      <c r="J17" s="304"/>
      <c r="K17" s="304"/>
      <c r="L17" s="304"/>
      <c r="M17" s="304"/>
      <c r="N17" s="304"/>
      <c r="O17" s="304"/>
      <c r="P17" s="304"/>
      <c r="Q17" s="304"/>
      <c r="R17" s="304"/>
      <c r="S17" s="305"/>
      <c r="T17" s="306"/>
      <c r="U17" s="304"/>
      <c r="V17" s="304"/>
      <c r="W17" s="307"/>
      <c r="X17" s="304"/>
      <c r="Y17" s="304"/>
      <c r="Z17" s="304"/>
      <c r="AA17" s="304"/>
      <c r="AB17" s="304"/>
      <c r="AC17" s="308">
        <f>SUM(AC18,AC27)</f>
        <v>6181494375</v>
      </c>
      <c r="AD17" s="308">
        <f>SUM(AD18,AD27)</f>
        <v>68787471</v>
      </c>
      <c r="AE17" s="308">
        <f>SUM(AE18,AE27)</f>
        <v>6112706904</v>
      </c>
      <c r="AF17" s="309"/>
    </row>
    <row r="18" spans="1:35" s="310" customFormat="1" ht="25.5" customHeight="1" x14ac:dyDescent="0.2">
      <c r="B18" s="311" t="s">
        <v>141</v>
      </c>
      <c r="C18" s="312" t="s">
        <v>30</v>
      </c>
      <c r="D18" s="313"/>
      <c r="E18" s="313" t="str">
        <f>COUNTA(D19:D26)&amp;" HỒ SƠ"</f>
        <v>8 HỒ SƠ</v>
      </c>
      <c r="F18" s="314"/>
      <c r="G18" s="314"/>
      <c r="H18" s="314"/>
      <c r="I18" s="314"/>
      <c r="J18" s="314"/>
      <c r="K18" s="314"/>
      <c r="L18" s="314"/>
      <c r="M18" s="314"/>
      <c r="N18" s="314"/>
      <c r="O18" s="314"/>
      <c r="P18" s="314"/>
      <c r="Q18" s="314"/>
      <c r="R18" s="314"/>
      <c r="S18" s="315"/>
      <c r="T18" s="316"/>
      <c r="U18" s="314"/>
      <c r="V18" s="314"/>
      <c r="W18" s="317"/>
      <c r="X18" s="314"/>
      <c r="Y18" s="314"/>
      <c r="Z18" s="314"/>
      <c r="AA18" s="314"/>
      <c r="AB18" s="314"/>
      <c r="AC18" s="318">
        <f>SUM(AC19:AC26)</f>
        <v>728063673</v>
      </c>
      <c r="AD18" s="318">
        <f>SUM(AD19:AD26)</f>
        <v>23780400</v>
      </c>
      <c r="AE18" s="318">
        <f>SUM(AE19:AE26)</f>
        <v>704283273</v>
      </c>
      <c r="AF18" s="319"/>
      <c r="AH18" s="320">
        <f>'[1]1a- Nghỉ hưu trước tuổi-T01'!AK17+'[1]Thôi việc ngay'!AJ16</f>
        <v>4580754436</v>
      </c>
    </row>
    <row r="19" spans="1:35" s="298" customFormat="1" ht="98.25" customHeight="1" x14ac:dyDescent="0.2">
      <c r="A19" s="321"/>
      <c r="B19" s="322">
        <v>1</v>
      </c>
      <c r="C19" s="323" t="s">
        <v>439</v>
      </c>
      <c r="D19" s="324">
        <v>22486</v>
      </c>
      <c r="E19" s="325"/>
      <c r="F19" s="326" t="s">
        <v>504</v>
      </c>
      <c r="G19" s="327">
        <v>4.9800000000000004</v>
      </c>
      <c r="H19" s="324">
        <v>42370</v>
      </c>
      <c r="I19" s="325"/>
      <c r="J19" s="324"/>
      <c r="K19" s="328"/>
      <c r="L19" s="324"/>
      <c r="M19" s="328"/>
      <c r="N19" s="324"/>
      <c r="O19" s="325"/>
      <c r="P19" s="325"/>
      <c r="Q19" s="327">
        <v>4.6500000000000004</v>
      </c>
      <c r="R19" s="324">
        <v>41275</v>
      </c>
      <c r="S19" s="228"/>
      <c r="T19" s="228">
        <v>5913840</v>
      </c>
      <c r="U19" s="325" t="s">
        <v>505</v>
      </c>
      <c r="V19" s="325"/>
      <c r="W19" s="324">
        <v>43466</v>
      </c>
      <c r="X19" s="325" t="s">
        <v>506</v>
      </c>
      <c r="Y19" s="329" t="s">
        <v>158</v>
      </c>
      <c r="Z19" s="329"/>
      <c r="AA19" s="330"/>
      <c r="AB19" s="330"/>
      <c r="AC19" s="331">
        <v>83104250</v>
      </c>
      <c r="AD19" s="330"/>
      <c r="AE19" s="332">
        <f>AC19</f>
        <v>83104250</v>
      </c>
      <c r="AF19" s="220" t="s">
        <v>440</v>
      </c>
    </row>
    <row r="20" spans="1:35" s="298" customFormat="1" ht="98.25" customHeight="1" x14ac:dyDescent="0.2">
      <c r="A20" s="321"/>
      <c r="B20" s="322">
        <v>2</v>
      </c>
      <c r="C20" s="323" t="s">
        <v>464</v>
      </c>
      <c r="D20" s="324">
        <v>22439</v>
      </c>
      <c r="E20" s="325"/>
      <c r="F20" s="326" t="s">
        <v>504</v>
      </c>
      <c r="G20" s="327">
        <v>3.66</v>
      </c>
      <c r="H20" s="324">
        <v>43405</v>
      </c>
      <c r="I20" s="325"/>
      <c r="J20" s="324"/>
      <c r="K20" s="328"/>
      <c r="L20" s="324"/>
      <c r="M20" s="328"/>
      <c r="N20" s="324"/>
      <c r="O20" s="325"/>
      <c r="P20" s="325"/>
      <c r="Q20" s="327" t="s">
        <v>507</v>
      </c>
      <c r="R20" s="324" t="s">
        <v>508</v>
      </c>
      <c r="S20" s="228"/>
      <c r="T20" s="228">
        <v>4053680</v>
      </c>
      <c r="U20" s="325" t="s">
        <v>509</v>
      </c>
      <c r="V20" s="325"/>
      <c r="W20" s="324">
        <v>43466</v>
      </c>
      <c r="X20" s="325" t="s">
        <v>366</v>
      </c>
      <c r="Y20" s="329" t="s">
        <v>158</v>
      </c>
      <c r="Z20" s="329"/>
      <c r="AA20" s="330"/>
      <c r="AB20" s="330"/>
      <c r="AC20" s="331">
        <v>167295960</v>
      </c>
      <c r="AD20" s="330"/>
      <c r="AE20" s="332">
        <f>AC20</f>
        <v>167295960</v>
      </c>
      <c r="AF20" s="220" t="s">
        <v>491</v>
      </c>
    </row>
    <row r="21" spans="1:35" s="298" customFormat="1" ht="136.5" customHeight="1" x14ac:dyDescent="0.2">
      <c r="A21" s="321"/>
      <c r="B21" s="322">
        <v>3</v>
      </c>
      <c r="C21" s="323" t="s">
        <v>484</v>
      </c>
      <c r="D21" s="324">
        <v>22008</v>
      </c>
      <c r="E21" s="325"/>
      <c r="F21" s="326" t="s">
        <v>510</v>
      </c>
      <c r="G21" s="327">
        <v>2.0699999999999998</v>
      </c>
      <c r="H21" s="324">
        <v>43101</v>
      </c>
      <c r="I21" s="325"/>
      <c r="J21" s="324"/>
      <c r="K21" s="328"/>
      <c r="L21" s="324"/>
      <c r="M21" s="328"/>
      <c r="N21" s="324"/>
      <c r="O21" s="325"/>
      <c r="P21" s="325"/>
      <c r="Q21" s="327" t="s">
        <v>511</v>
      </c>
      <c r="R21" s="324" t="s">
        <v>512</v>
      </c>
      <c r="S21" s="228"/>
      <c r="T21" s="228"/>
      <c r="U21" s="325" t="s">
        <v>513</v>
      </c>
      <c r="V21" s="325"/>
      <c r="W21" s="324">
        <v>43466</v>
      </c>
      <c r="X21" s="325" t="s">
        <v>514</v>
      </c>
      <c r="Y21" s="329" t="s">
        <v>158</v>
      </c>
      <c r="Z21" s="329"/>
      <c r="AA21" s="330"/>
      <c r="AB21" s="330"/>
      <c r="AC21" s="331">
        <v>146555890</v>
      </c>
      <c r="AD21" s="330"/>
      <c r="AE21" s="332">
        <f>AC21</f>
        <v>146555890</v>
      </c>
      <c r="AF21" s="220" t="s">
        <v>487</v>
      </c>
    </row>
    <row r="22" spans="1:35" s="298" customFormat="1" ht="123.75" customHeight="1" x14ac:dyDescent="0.2">
      <c r="A22" s="321"/>
      <c r="B22" s="322">
        <v>4</v>
      </c>
      <c r="C22" s="323" t="s">
        <v>486</v>
      </c>
      <c r="D22" s="324">
        <v>22262</v>
      </c>
      <c r="E22" s="325"/>
      <c r="F22" s="326" t="s">
        <v>515</v>
      </c>
      <c r="G22" s="327" t="s">
        <v>516</v>
      </c>
      <c r="H22" s="324">
        <v>43282</v>
      </c>
      <c r="I22" s="325">
        <v>0.3</v>
      </c>
      <c r="J22" s="324" t="s">
        <v>517</v>
      </c>
      <c r="K22" s="328"/>
      <c r="L22" s="324"/>
      <c r="M22" s="328" t="s">
        <v>406</v>
      </c>
      <c r="N22" s="324" t="s">
        <v>518</v>
      </c>
      <c r="O22" s="325"/>
      <c r="P22" s="325"/>
      <c r="Q22" s="327"/>
      <c r="R22" s="324"/>
      <c r="S22" s="228"/>
      <c r="T22" s="228">
        <v>7257835.7999999998</v>
      </c>
      <c r="U22" s="325" t="s">
        <v>519</v>
      </c>
      <c r="V22" s="325"/>
      <c r="W22" s="324">
        <v>43466</v>
      </c>
      <c r="X22" s="325" t="s">
        <v>248</v>
      </c>
      <c r="Y22" s="329" t="s">
        <v>158</v>
      </c>
      <c r="Z22" s="329"/>
      <c r="AA22" s="330"/>
      <c r="AB22" s="330"/>
      <c r="AC22" s="633" t="s">
        <v>392</v>
      </c>
      <c r="AD22" s="634"/>
      <c r="AE22" s="635"/>
      <c r="AF22" s="220" t="s">
        <v>488</v>
      </c>
    </row>
    <row r="23" spans="1:35" s="298" customFormat="1" ht="150.75" customHeight="1" x14ac:dyDescent="0.2">
      <c r="A23" s="321"/>
      <c r="B23" s="322">
        <v>5</v>
      </c>
      <c r="C23" s="323" t="s">
        <v>410</v>
      </c>
      <c r="D23" s="324">
        <v>23000</v>
      </c>
      <c r="E23" s="325"/>
      <c r="F23" s="326" t="s">
        <v>520</v>
      </c>
      <c r="G23" s="327">
        <v>3</v>
      </c>
      <c r="H23" s="324">
        <v>42917</v>
      </c>
      <c r="I23" s="325"/>
      <c r="J23" s="324"/>
      <c r="K23" s="328"/>
      <c r="L23" s="324"/>
      <c r="M23" s="328"/>
      <c r="N23" s="324"/>
      <c r="O23" s="325"/>
      <c r="P23" s="325"/>
      <c r="Q23" s="327" t="s">
        <v>521</v>
      </c>
      <c r="R23" s="324" t="s">
        <v>522</v>
      </c>
      <c r="S23" s="228"/>
      <c r="T23" s="228">
        <v>3359580</v>
      </c>
      <c r="U23" s="325" t="s">
        <v>523</v>
      </c>
      <c r="V23" s="325"/>
      <c r="W23" s="324">
        <v>43466</v>
      </c>
      <c r="X23" s="325" t="s">
        <v>524</v>
      </c>
      <c r="Y23" s="329" t="s">
        <v>158</v>
      </c>
      <c r="Z23" s="329"/>
      <c r="AA23" s="330"/>
      <c r="AB23" s="330"/>
      <c r="AC23" s="331">
        <v>150949129</v>
      </c>
      <c r="AD23" s="330"/>
      <c r="AE23" s="332">
        <f>AC23</f>
        <v>150949129</v>
      </c>
      <c r="AF23" s="220" t="s">
        <v>490</v>
      </c>
    </row>
    <row r="24" spans="1:35" s="298" customFormat="1" ht="95.25" customHeight="1" x14ac:dyDescent="0.2">
      <c r="A24" s="321"/>
      <c r="B24" s="322">
        <v>6</v>
      </c>
      <c r="C24" s="323" t="s">
        <v>474</v>
      </c>
      <c r="D24" s="324">
        <v>24944</v>
      </c>
      <c r="E24" s="325"/>
      <c r="F24" s="326" t="s">
        <v>525</v>
      </c>
      <c r="G24" s="327" t="s">
        <v>526</v>
      </c>
      <c r="H24" s="324">
        <v>43101</v>
      </c>
      <c r="I24" s="325"/>
      <c r="J24" s="324"/>
      <c r="K24" s="328"/>
      <c r="L24" s="324"/>
      <c r="M24" s="328" t="s">
        <v>436</v>
      </c>
      <c r="N24" s="324" t="s">
        <v>518</v>
      </c>
      <c r="O24" s="325"/>
      <c r="P24" s="325"/>
      <c r="Q24" s="327"/>
      <c r="R24" s="324"/>
      <c r="S24" s="228"/>
      <c r="T24" s="228">
        <v>4665949.2</v>
      </c>
      <c r="U24" s="325" t="s">
        <v>527</v>
      </c>
      <c r="V24" s="325"/>
      <c r="W24" s="324">
        <v>43466</v>
      </c>
      <c r="X24" s="325" t="s">
        <v>528</v>
      </c>
      <c r="Y24" s="329" t="s">
        <v>158</v>
      </c>
      <c r="Z24" s="329"/>
      <c r="AA24" s="330"/>
      <c r="AB24" s="330"/>
      <c r="AC24" s="331">
        <v>56527146</v>
      </c>
      <c r="AD24" s="330"/>
      <c r="AE24" s="332">
        <f>AC24</f>
        <v>56527146</v>
      </c>
      <c r="AF24" s="220" t="s">
        <v>475</v>
      </c>
      <c r="AI24" s="331">
        <v>5653801872</v>
      </c>
    </row>
    <row r="25" spans="1:35" s="298" customFormat="1" ht="101.25" customHeight="1" x14ac:dyDescent="0.2">
      <c r="A25" s="321"/>
      <c r="B25" s="322">
        <v>7</v>
      </c>
      <c r="C25" s="323" t="s">
        <v>480</v>
      </c>
      <c r="D25" s="324">
        <v>23149</v>
      </c>
      <c r="E25" s="325"/>
      <c r="F25" s="326" t="s">
        <v>529</v>
      </c>
      <c r="G25" s="327">
        <v>4.6500000000000004</v>
      </c>
      <c r="H25" s="324">
        <v>43009</v>
      </c>
      <c r="I25" s="325">
        <v>0.3</v>
      </c>
      <c r="J25" s="324">
        <v>40269</v>
      </c>
      <c r="K25" s="328"/>
      <c r="L25" s="324"/>
      <c r="M25" s="328"/>
      <c r="N25" s="324"/>
      <c r="O25" s="325"/>
      <c r="P25" s="325"/>
      <c r="Q25" s="327" t="s">
        <v>530</v>
      </c>
      <c r="R25" s="324" t="s">
        <v>531</v>
      </c>
      <c r="S25" s="228"/>
      <c r="T25" s="228">
        <v>5515455</v>
      </c>
      <c r="U25" s="325" t="s">
        <v>532</v>
      </c>
      <c r="V25" s="325"/>
      <c r="W25" s="324">
        <v>43466</v>
      </c>
      <c r="X25" s="325" t="s">
        <v>533</v>
      </c>
      <c r="Y25" s="329"/>
      <c r="Z25" s="329"/>
      <c r="AA25" s="330" t="s">
        <v>158</v>
      </c>
      <c r="AB25" s="330"/>
      <c r="AC25" s="331">
        <v>66912698</v>
      </c>
      <c r="AD25" s="332">
        <v>11890200</v>
      </c>
      <c r="AE25" s="332">
        <v>55022498</v>
      </c>
      <c r="AF25" s="220" t="s">
        <v>481</v>
      </c>
      <c r="AI25" s="331">
        <v>527692503</v>
      </c>
    </row>
    <row r="26" spans="1:35" s="298" customFormat="1" ht="102.75" customHeight="1" x14ac:dyDescent="0.2">
      <c r="A26" s="321"/>
      <c r="B26" s="322">
        <v>8</v>
      </c>
      <c r="C26" s="323" t="s">
        <v>482</v>
      </c>
      <c r="D26" s="324">
        <v>22656</v>
      </c>
      <c r="E26" s="325"/>
      <c r="F26" s="326" t="s">
        <v>534</v>
      </c>
      <c r="G26" s="327" t="s">
        <v>468</v>
      </c>
      <c r="H26" s="324">
        <v>43466</v>
      </c>
      <c r="I26" s="325"/>
      <c r="J26" s="324"/>
      <c r="K26" s="328"/>
      <c r="L26" s="324"/>
      <c r="M26" s="328" t="s">
        <v>390</v>
      </c>
      <c r="N26" s="324" t="s">
        <v>457</v>
      </c>
      <c r="O26" s="325"/>
      <c r="P26" s="325"/>
      <c r="Q26" s="327"/>
      <c r="R26" s="324"/>
      <c r="S26" s="228"/>
      <c r="T26" s="228">
        <v>5515462.6333333338</v>
      </c>
      <c r="U26" s="325" t="s">
        <v>535</v>
      </c>
      <c r="V26" s="325"/>
      <c r="W26" s="324">
        <v>43497</v>
      </c>
      <c r="X26" s="325" t="s">
        <v>259</v>
      </c>
      <c r="Y26" s="329"/>
      <c r="Z26" s="329"/>
      <c r="AA26" s="330" t="s">
        <v>158</v>
      </c>
      <c r="AB26" s="330"/>
      <c r="AC26" s="331">
        <v>56718600</v>
      </c>
      <c r="AD26" s="332">
        <v>11890200</v>
      </c>
      <c r="AE26" s="332">
        <v>44828400</v>
      </c>
      <c r="AF26" s="220" t="s">
        <v>638</v>
      </c>
      <c r="AI26" s="331">
        <v>68787471</v>
      </c>
    </row>
    <row r="27" spans="1:35" s="310" customFormat="1" ht="25.5" customHeight="1" x14ac:dyDescent="0.2">
      <c r="B27" s="311" t="s">
        <v>155</v>
      </c>
      <c r="C27" s="312" t="s">
        <v>33</v>
      </c>
      <c r="D27" s="313"/>
      <c r="E27" s="313" t="str">
        <f>COUNTA(D28:D54)&amp;" HỒ SƠ"</f>
        <v>27 HỒ SƠ</v>
      </c>
      <c r="F27" s="314"/>
      <c r="G27" s="314"/>
      <c r="H27" s="314"/>
      <c r="I27" s="314"/>
      <c r="J27" s="314"/>
      <c r="K27" s="314"/>
      <c r="L27" s="314"/>
      <c r="M27" s="314"/>
      <c r="N27" s="314"/>
      <c r="O27" s="314"/>
      <c r="P27" s="314"/>
      <c r="Q27" s="314"/>
      <c r="R27" s="314"/>
      <c r="S27" s="333"/>
      <c r="T27" s="334"/>
      <c r="U27" s="314"/>
      <c r="V27" s="314"/>
      <c r="W27" s="317"/>
      <c r="X27" s="314"/>
      <c r="Y27" s="314"/>
      <c r="Z27" s="314"/>
      <c r="AA27" s="314"/>
      <c r="AB27" s="314"/>
      <c r="AC27" s="335">
        <f>SUM(AC28:AC66)</f>
        <v>5453430702</v>
      </c>
      <c r="AD27" s="336">
        <f>SUM(AD28:AD66)</f>
        <v>45007071</v>
      </c>
      <c r="AE27" s="336">
        <f>SUM(AE28:AE66)</f>
        <v>5408423631</v>
      </c>
      <c r="AF27" s="319"/>
      <c r="AI27" s="364">
        <f>AI24+AI25-AI26</f>
        <v>6112706904</v>
      </c>
    </row>
    <row r="28" spans="1:35" s="310" customFormat="1" ht="92.25" customHeight="1" x14ac:dyDescent="0.2">
      <c r="A28" s="321"/>
      <c r="B28" s="322">
        <v>1</v>
      </c>
      <c r="C28" s="323" t="s">
        <v>408</v>
      </c>
      <c r="D28" s="324">
        <v>22652</v>
      </c>
      <c r="E28" s="325"/>
      <c r="F28" s="326" t="s">
        <v>537</v>
      </c>
      <c r="G28" s="327" t="s">
        <v>538</v>
      </c>
      <c r="H28" s="324">
        <v>43101</v>
      </c>
      <c r="I28" s="325">
        <v>0.3</v>
      </c>
      <c r="J28" s="324">
        <v>40452</v>
      </c>
      <c r="K28" s="328" t="s">
        <v>396</v>
      </c>
      <c r="L28" s="324" t="s">
        <v>539</v>
      </c>
      <c r="M28" s="328" t="s">
        <v>540</v>
      </c>
      <c r="N28" s="324" t="s">
        <v>518</v>
      </c>
      <c r="O28" s="325"/>
      <c r="P28" s="325"/>
      <c r="Q28" s="327"/>
      <c r="R28" s="324"/>
      <c r="S28" s="337"/>
      <c r="T28" s="228">
        <v>7487359.9309999999</v>
      </c>
      <c r="U28" s="325" t="s">
        <v>541</v>
      </c>
      <c r="V28" s="325"/>
      <c r="W28" s="324">
        <v>43466</v>
      </c>
      <c r="X28" s="325" t="s">
        <v>542</v>
      </c>
      <c r="Y28" s="329" t="s">
        <v>158</v>
      </c>
      <c r="Z28" s="219"/>
      <c r="AA28" s="219"/>
      <c r="AB28" s="219"/>
      <c r="AC28" s="221">
        <v>176253592</v>
      </c>
      <c r="AD28" s="219"/>
      <c r="AE28" s="256">
        <f>AC28</f>
        <v>176253592</v>
      </c>
      <c r="AF28" s="220" t="s">
        <v>409</v>
      </c>
    </row>
    <row r="29" spans="1:35" s="310" customFormat="1" ht="64.5" customHeight="1" x14ac:dyDescent="0.2">
      <c r="A29" s="321"/>
      <c r="B29" s="322">
        <v>2</v>
      </c>
      <c r="C29" s="323" t="s">
        <v>458</v>
      </c>
      <c r="D29" s="324">
        <v>24356</v>
      </c>
      <c r="E29" s="325"/>
      <c r="F29" s="326" t="s">
        <v>543</v>
      </c>
      <c r="G29" s="327">
        <v>4.32</v>
      </c>
      <c r="H29" s="324">
        <v>43344</v>
      </c>
      <c r="I29" s="325">
        <v>0.2</v>
      </c>
      <c r="J29" s="324" t="s">
        <v>544</v>
      </c>
      <c r="K29" s="328" t="s">
        <v>407</v>
      </c>
      <c r="L29" s="324" t="s">
        <v>545</v>
      </c>
      <c r="M29" s="328"/>
      <c r="N29" s="324"/>
      <c r="O29" s="325"/>
      <c r="P29" s="325"/>
      <c r="Q29" s="327" t="s">
        <v>415</v>
      </c>
      <c r="R29" s="324" t="s">
        <v>417</v>
      </c>
      <c r="S29" s="337"/>
      <c r="T29" s="228">
        <v>5721528.3833333338</v>
      </c>
      <c r="U29" s="325" t="s">
        <v>546</v>
      </c>
      <c r="V29" s="325"/>
      <c r="W29" s="324">
        <v>43466</v>
      </c>
      <c r="X29" s="325" t="s">
        <v>547</v>
      </c>
      <c r="Y29" s="329" t="s">
        <v>158</v>
      </c>
      <c r="Z29" s="219"/>
      <c r="AA29" s="219"/>
      <c r="AB29" s="219"/>
      <c r="AC29" s="221">
        <v>118051518</v>
      </c>
      <c r="AD29" s="219"/>
      <c r="AE29" s="256">
        <f t="shared" ref="AE29:AE63" si="0">AC29</f>
        <v>118051518</v>
      </c>
      <c r="AF29" s="220" t="s">
        <v>445</v>
      </c>
    </row>
    <row r="30" spans="1:35" s="310" customFormat="1" ht="64.5" customHeight="1" x14ac:dyDescent="0.2">
      <c r="A30" s="321"/>
      <c r="B30" s="322">
        <v>3</v>
      </c>
      <c r="C30" s="323" t="s">
        <v>459</v>
      </c>
      <c r="D30" s="324">
        <v>23196</v>
      </c>
      <c r="E30" s="325"/>
      <c r="F30" s="326" t="s">
        <v>548</v>
      </c>
      <c r="G30" s="327" t="s">
        <v>549</v>
      </c>
      <c r="H30" s="324">
        <v>43191</v>
      </c>
      <c r="I30" s="325"/>
      <c r="J30" s="324"/>
      <c r="K30" s="328"/>
      <c r="L30" s="324"/>
      <c r="M30" s="328" t="s">
        <v>273</v>
      </c>
      <c r="N30" s="324" t="s">
        <v>550</v>
      </c>
      <c r="O30" s="325"/>
      <c r="P30" s="325"/>
      <c r="Q30" s="327"/>
      <c r="R30" s="324"/>
      <c r="S30" s="337"/>
      <c r="T30" s="228">
        <v>4767823.5</v>
      </c>
      <c r="U30" s="325" t="s">
        <v>551</v>
      </c>
      <c r="V30" s="325"/>
      <c r="W30" s="324">
        <v>43466</v>
      </c>
      <c r="X30" s="325" t="s">
        <v>552</v>
      </c>
      <c r="Y30" s="329" t="s">
        <v>158</v>
      </c>
      <c r="Z30" s="219"/>
      <c r="AA30" s="219"/>
      <c r="AB30" s="219"/>
      <c r="AC30" s="221">
        <v>122241383</v>
      </c>
      <c r="AD30" s="219"/>
      <c r="AE30" s="256">
        <f t="shared" si="0"/>
        <v>122241383</v>
      </c>
      <c r="AF30" s="220" t="s">
        <v>445</v>
      </c>
    </row>
    <row r="31" spans="1:35" s="310" customFormat="1" ht="154.5" customHeight="1" x14ac:dyDescent="0.2">
      <c r="A31" s="321"/>
      <c r="B31" s="322">
        <v>4</v>
      </c>
      <c r="C31" s="323" t="s">
        <v>448</v>
      </c>
      <c r="D31" s="324">
        <v>22751</v>
      </c>
      <c r="E31" s="325"/>
      <c r="F31" s="326" t="s">
        <v>553</v>
      </c>
      <c r="G31" s="327">
        <v>4.8899999999999997</v>
      </c>
      <c r="H31" s="324">
        <v>42736</v>
      </c>
      <c r="I31" s="325">
        <v>0.35</v>
      </c>
      <c r="J31" s="324" t="s">
        <v>554</v>
      </c>
      <c r="K31" s="328" t="s">
        <v>418</v>
      </c>
      <c r="L31" s="324" t="s">
        <v>555</v>
      </c>
      <c r="M31" s="328"/>
      <c r="N31" s="324"/>
      <c r="O31" s="325"/>
      <c r="P31" s="325"/>
      <c r="Q31" s="327">
        <v>4.58</v>
      </c>
      <c r="R31" s="324">
        <v>41640</v>
      </c>
      <c r="S31" s="337"/>
      <c r="T31" s="228">
        <v>7329066.5666666664</v>
      </c>
      <c r="U31" s="325" t="s">
        <v>556</v>
      </c>
      <c r="V31" s="325"/>
      <c r="W31" s="324">
        <v>43466</v>
      </c>
      <c r="X31" s="325" t="s">
        <v>557</v>
      </c>
      <c r="Y31" s="329" t="s">
        <v>158</v>
      </c>
      <c r="Z31" s="219"/>
      <c r="AA31" s="219"/>
      <c r="AB31" s="219"/>
      <c r="AC31" s="221">
        <v>114041420</v>
      </c>
      <c r="AD31" s="219"/>
      <c r="AE31" s="256">
        <f t="shared" si="0"/>
        <v>114041420</v>
      </c>
      <c r="AF31" s="220" t="s">
        <v>449</v>
      </c>
    </row>
    <row r="32" spans="1:35" s="310" customFormat="1" ht="118.5" customHeight="1" x14ac:dyDescent="0.2">
      <c r="A32" s="321"/>
      <c r="B32" s="322">
        <v>5</v>
      </c>
      <c r="C32" s="323" t="s">
        <v>450</v>
      </c>
      <c r="D32" s="324">
        <v>23407</v>
      </c>
      <c r="E32" s="325"/>
      <c r="F32" s="326" t="s">
        <v>558</v>
      </c>
      <c r="G32" s="327">
        <v>4.2699999999999996</v>
      </c>
      <c r="H32" s="324">
        <v>42370</v>
      </c>
      <c r="I32" s="325"/>
      <c r="J32" s="324"/>
      <c r="K32" s="328" t="s">
        <v>396</v>
      </c>
      <c r="L32" s="324" t="s">
        <v>559</v>
      </c>
      <c r="M32" s="328"/>
      <c r="N32" s="324"/>
      <c r="O32" s="325"/>
      <c r="P32" s="325"/>
      <c r="Q32" s="327">
        <v>3.96</v>
      </c>
      <c r="R32" s="324">
        <v>41275</v>
      </c>
      <c r="S32" s="337"/>
      <c r="T32" s="228">
        <v>6091668.9333333336</v>
      </c>
      <c r="U32" s="325" t="s">
        <v>560</v>
      </c>
      <c r="V32" s="325"/>
      <c r="W32" s="324">
        <v>43497</v>
      </c>
      <c r="X32" s="325" t="s">
        <v>257</v>
      </c>
      <c r="Y32" s="329" t="s">
        <v>158</v>
      </c>
      <c r="Z32" s="219"/>
      <c r="AA32" s="219"/>
      <c r="AB32" s="219"/>
      <c r="AC32" s="221">
        <v>113663550</v>
      </c>
      <c r="AD32" s="219"/>
      <c r="AE32" s="256">
        <f t="shared" si="0"/>
        <v>113663550</v>
      </c>
      <c r="AF32" s="220" t="s">
        <v>451</v>
      </c>
    </row>
    <row r="33" spans="1:32" s="310" customFormat="1" ht="118.5" customHeight="1" x14ac:dyDescent="0.2">
      <c r="A33" s="321"/>
      <c r="B33" s="322">
        <v>6</v>
      </c>
      <c r="C33" s="323" t="s">
        <v>452</v>
      </c>
      <c r="D33" s="324">
        <v>24313</v>
      </c>
      <c r="E33" s="325"/>
      <c r="F33" s="326" t="s">
        <v>561</v>
      </c>
      <c r="G33" s="327" t="s">
        <v>562</v>
      </c>
      <c r="H33" s="324">
        <v>42948</v>
      </c>
      <c r="I33" s="325"/>
      <c r="J33" s="324"/>
      <c r="K33" s="328" t="s">
        <v>412</v>
      </c>
      <c r="L33" s="324" t="s">
        <v>563</v>
      </c>
      <c r="M33" s="328"/>
      <c r="N33" s="324"/>
      <c r="O33" s="325"/>
      <c r="P33" s="325"/>
      <c r="Q33" s="327" t="s">
        <v>564</v>
      </c>
      <c r="R33" s="324" t="s">
        <v>565</v>
      </c>
      <c r="S33" s="337"/>
      <c r="T33" s="228">
        <v>7741325.7133333338</v>
      </c>
      <c r="U33" s="325" t="s">
        <v>485</v>
      </c>
      <c r="V33" s="325"/>
      <c r="W33" s="324">
        <v>43466</v>
      </c>
      <c r="X33" s="325" t="s">
        <v>566</v>
      </c>
      <c r="Y33" s="329" t="s">
        <v>158</v>
      </c>
      <c r="Z33" s="219"/>
      <c r="AA33" s="219"/>
      <c r="AB33" s="219"/>
      <c r="AC33" s="221">
        <v>175881581</v>
      </c>
      <c r="AD33" s="219"/>
      <c r="AE33" s="256">
        <f t="shared" si="0"/>
        <v>175881581</v>
      </c>
      <c r="AF33" s="220" t="s">
        <v>637</v>
      </c>
    </row>
    <row r="34" spans="1:32" s="310" customFormat="1" ht="102" customHeight="1" x14ac:dyDescent="0.2">
      <c r="A34" s="321"/>
      <c r="B34" s="322">
        <v>7</v>
      </c>
      <c r="C34" s="323" t="s">
        <v>453</v>
      </c>
      <c r="D34" s="324">
        <v>23372</v>
      </c>
      <c r="E34" s="325"/>
      <c r="F34" s="326" t="s">
        <v>567</v>
      </c>
      <c r="G34" s="327" t="s">
        <v>568</v>
      </c>
      <c r="H34" s="324">
        <v>43101</v>
      </c>
      <c r="I34" s="325"/>
      <c r="J34" s="324"/>
      <c r="K34" s="328"/>
      <c r="L34" s="324"/>
      <c r="M34" s="328" t="s">
        <v>469</v>
      </c>
      <c r="N34" s="324" t="s">
        <v>518</v>
      </c>
      <c r="O34" s="325"/>
      <c r="P34" s="325"/>
      <c r="Q34" s="327"/>
      <c r="R34" s="324"/>
      <c r="S34" s="337"/>
      <c r="T34" s="228">
        <v>4955494.5</v>
      </c>
      <c r="U34" s="325" t="s">
        <v>569</v>
      </c>
      <c r="V34" s="325"/>
      <c r="W34" s="324">
        <v>43466</v>
      </c>
      <c r="X34" s="325" t="s">
        <v>257</v>
      </c>
      <c r="Y34" s="329" t="s">
        <v>158</v>
      </c>
      <c r="Z34" s="219"/>
      <c r="AA34" s="219"/>
      <c r="AB34" s="219"/>
      <c r="AC34" s="221">
        <v>128922128</v>
      </c>
      <c r="AD34" s="219"/>
      <c r="AE34" s="256">
        <f t="shared" si="0"/>
        <v>128922128</v>
      </c>
      <c r="AF34" s="220" t="s">
        <v>454</v>
      </c>
    </row>
    <row r="35" spans="1:32" s="310" customFormat="1" ht="102" customHeight="1" x14ac:dyDescent="0.2">
      <c r="A35" s="321"/>
      <c r="B35" s="322">
        <v>8</v>
      </c>
      <c r="C35" s="323" t="s">
        <v>455</v>
      </c>
      <c r="D35" s="324">
        <v>22905</v>
      </c>
      <c r="E35" s="325"/>
      <c r="F35" s="326" t="s">
        <v>570</v>
      </c>
      <c r="G35" s="327">
        <v>3.99</v>
      </c>
      <c r="H35" s="324">
        <v>42887</v>
      </c>
      <c r="I35" s="325"/>
      <c r="J35" s="324"/>
      <c r="K35" s="328"/>
      <c r="L35" s="324"/>
      <c r="M35" s="328"/>
      <c r="N35" s="324"/>
      <c r="O35" s="325"/>
      <c r="P35" s="325"/>
      <c r="Q35" s="327">
        <v>3.66</v>
      </c>
      <c r="R35" s="324">
        <v>41518</v>
      </c>
      <c r="S35" s="337"/>
      <c r="T35" s="228">
        <v>4596205</v>
      </c>
      <c r="U35" s="325" t="s">
        <v>523</v>
      </c>
      <c r="V35" s="325" t="s">
        <v>523</v>
      </c>
      <c r="W35" s="324">
        <v>43466</v>
      </c>
      <c r="X35" s="325" t="s">
        <v>369</v>
      </c>
      <c r="Y35" s="329" t="s">
        <v>158</v>
      </c>
      <c r="Z35" s="219"/>
      <c r="AA35" s="219"/>
      <c r="AB35" s="219"/>
      <c r="AC35" s="221">
        <v>167059628</v>
      </c>
      <c r="AD35" s="219"/>
      <c r="AE35" s="256">
        <f t="shared" si="0"/>
        <v>167059628</v>
      </c>
      <c r="AF35" s="220" t="s">
        <v>454</v>
      </c>
    </row>
    <row r="36" spans="1:32" s="310" customFormat="1" ht="102" customHeight="1" x14ac:dyDescent="0.2">
      <c r="A36" s="321"/>
      <c r="B36" s="322">
        <v>9</v>
      </c>
      <c r="C36" s="323" t="s">
        <v>496</v>
      </c>
      <c r="D36" s="324">
        <v>22313</v>
      </c>
      <c r="E36" s="325"/>
      <c r="F36" s="326" t="s">
        <v>478</v>
      </c>
      <c r="G36" s="327">
        <v>3.66</v>
      </c>
      <c r="H36" s="324">
        <v>42705</v>
      </c>
      <c r="I36" s="325"/>
      <c r="J36" s="324"/>
      <c r="K36" s="328" t="s">
        <v>571</v>
      </c>
      <c r="L36" s="324" t="s">
        <v>572</v>
      </c>
      <c r="M36" s="328"/>
      <c r="N36" s="324"/>
      <c r="O36" s="325"/>
      <c r="P36" s="325"/>
      <c r="Q36" s="327" t="s">
        <v>573</v>
      </c>
      <c r="R36" s="324" t="s">
        <v>574</v>
      </c>
      <c r="S36" s="337"/>
      <c r="T36" s="228">
        <v>5484434.4666666668</v>
      </c>
      <c r="U36" s="325" t="s">
        <v>575</v>
      </c>
      <c r="V36" s="325" t="s">
        <v>456</v>
      </c>
      <c r="W36" s="324">
        <v>43466</v>
      </c>
      <c r="X36" s="325" t="s">
        <v>255</v>
      </c>
      <c r="Y36" s="329" t="s">
        <v>158</v>
      </c>
      <c r="Z36" s="219"/>
      <c r="AA36" s="219"/>
      <c r="AB36" s="219"/>
      <c r="AC36" s="221">
        <v>120420920</v>
      </c>
      <c r="AD36" s="219"/>
      <c r="AE36" s="256">
        <f t="shared" si="0"/>
        <v>120420920</v>
      </c>
      <c r="AF36" s="220" t="s">
        <v>454</v>
      </c>
    </row>
    <row r="37" spans="1:32" s="310" customFormat="1" ht="99.75" customHeight="1" x14ac:dyDescent="0.2">
      <c r="A37" s="321"/>
      <c r="B37" s="322">
        <v>10</v>
      </c>
      <c r="C37" s="323" t="s">
        <v>479</v>
      </c>
      <c r="D37" s="324">
        <v>24303</v>
      </c>
      <c r="E37" s="325"/>
      <c r="F37" s="326" t="s">
        <v>576</v>
      </c>
      <c r="G37" s="327">
        <v>3.96</v>
      </c>
      <c r="H37" s="324">
        <v>42370</v>
      </c>
      <c r="I37" s="325"/>
      <c r="J37" s="324"/>
      <c r="K37" s="328" t="s">
        <v>335</v>
      </c>
      <c r="L37" s="324" t="s">
        <v>577</v>
      </c>
      <c r="M37" s="328"/>
      <c r="N37" s="324"/>
      <c r="O37" s="325"/>
      <c r="P37" s="325"/>
      <c r="Q37" s="327">
        <v>3.65</v>
      </c>
      <c r="R37" s="324">
        <v>41275</v>
      </c>
      <c r="S37" s="337"/>
      <c r="T37" s="228">
        <v>5485657.833333333</v>
      </c>
      <c r="U37" s="325" t="s">
        <v>578</v>
      </c>
      <c r="V37" s="325" t="s">
        <v>578</v>
      </c>
      <c r="W37" s="324">
        <v>43586</v>
      </c>
      <c r="X37" s="325" t="s">
        <v>579</v>
      </c>
      <c r="Y37" s="329" t="s">
        <v>158</v>
      </c>
      <c r="Z37" s="219"/>
      <c r="AA37" s="219"/>
      <c r="AB37" s="219"/>
      <c r="AC37" s="221">
        <v>139383333</v>
      </c>
      <c r="AD37" s="219"/>
      <c r="AE37" s="256">
        <f t="shared" si="0"/>
        <v>139383333</v>
      </c>
      <c r="AF37" s="220" t="s">
        <v>492</v>
      </c>
    </row>
    <row r="38" spans="1:32" s="310" customFormat="1" ht="99.75" customHeight="1" x14ac:dyDescent="0.2">
      <c r="A38" s="321"/>
      <c r="B38" s="322">
        <v>11</v>
      </c>
      <c r="C38" s="323" t="s">
        <v>411</v>
      </c>
      <c r="D38" s="324">
        <v>23172</v>
      </c>
      <c r="E38" s="325"/>
      <c r="F38" s="326" t="s">
        <v>580</v>
      </c>
      <c r="G38" s="327" t="s">
        <v>516</v>
      </c>
      <c r="H38" s="324">
        <v>43282</v>
      </c>
      <c r="I38" s="325">
        <v>0.6</v>
      </c>
      <c r="J38" s="324" t="s">
        <v>581</v>
      </c>
      <c r="K38" s="328"/>
      <c r="L38" s="324"/>
      <c r="M38" s="328" t="s">
        <v>406</v>
      </c>
      <c r="N38" s="324" t="s">
        <v>582</v>
      </c>
      <c r="O38" s="325"/>
      <c r="P38" s="325"/>
      <c r="Q38" s="327"/>
      <c r="R38" s="324"/>
      <c r="S38" s="337"/>
      <c r="T38" s="228">
        <v>7720216</v>
      </c>
      <c r="U38" s="325" t="s">
        <v>350</v>
      </c>
      <c r="V38" s="325"/>
      <c r="W38" s="324">
        <v>43525</v>
      </c>
      <c r="X38" s="325" t="s">
        <v>247</v>
      </c>
      <c r="Y38" s="329" t="s">
        <v>158</v>
      </c>
      <c r="Z38" s="219"/>
      <c r="AA38" s="219"/>
      <c r="AB38" s="219"/>
      <c r="AC38" s="221">
        <v>178935256</v>
      </c>
      <c r="AD38" s="219"/>
      <c r="AE38" s="256">
        <f t="shared" si="0"/>
        <v>178935256</v>
      </c>
      <c r="AF38" s="220" t="s">
        <v>489</v>
      </c>
    </row>
    <row r="39" spans="1:32" s="310" customFormat="1" ht="99.75" customHeight="1" x14ac:dyDescent="0.2">
      <c r="A39" s="321"/>
      <c r="B39" s="322">
        <v>12</v>
      </c>
      <c r="C39" s="323" t="s">
        <v>471</v>
      </c>
      <c r="D39" s="324">
        <v>23487</v>
      </c>
      <c r="E39" s="325"/>
      <c r="F39" s="326" t="s">
        <v>583</v>
      </c>
      <c r="G39" s="327">
        <v>4.6500000000000004</v>
      </c>
      <c r="H39" s="324">
        <v>43221</v>
      </c>
      <c r="I39" s="325">
        <v>0.4</v>
      </c>
      <c r="J39" s="324" t="s">
        <v>581</v>
      </c>
      <c r="K39" s="328"/>
      <c r="L39" s="324"/>
      <c r="M39" s="328"/>
      <c r="N39" s="324"/>
      <c r="O39" s="325"/>
      <c r="P39" s="325"/>
      <c r="Q39" s="327" t="s">
        <v>530</v>
      </c>
      <c r="R39" s="324" t="s">
        <v>584</v>
      </c>
      <c r="S39" s="337"/>
      <c r="T39" s="228">
        <v>5896255</v>
      </c>
      <c r="U39" s="325" t="s">
        <v>585</v>
      </c>
      <c r="V39" s="325"/>
      <c r="W39" s="324">
        <v>43586</v>
      </c>
      <c r="X39" s="325" t="s">
        <v>257</v>
      </c>
      <c r="Y39" s="329" t="s">
        <v>158</v>
      </c>
      <c r="Z39" s="219"/>
      <c r="AA39" s="219"/>
      <c r="AB39" s="219"/>
      <c r="AC39" s="221">
        <v>119353861</v>
      </c>
      <c r="AD39" s="219"/>
      <c r="AE39" s="256">
        <f t="shared" si="0"/>
        <v>119353861</v>
      </c>
      <c r="AF39" s="220" t="s">
        <v>423</v>
      </c>
    </row>
    <row r="40" spans="1:32" s="310" customFormat="1" ht="99.75" customHeight="1" x14ac:dyDescent="0.2">
      <c r="A40" s="321"/>
      <c r="B40" s="322">
        <v>13</v>
      </c>
      <c r="C40" s="323" t="s">
        <v>413</v>
      </c>
      <c r="D40" s="324">
        <v>25333</v>
      </c>
      <c r="E40" s="325"/>
      <c r="F40" s="326" t="s">
        <v>586</v>
      </c>
      <c r="G40" s="327" t="s">
        <v>587</v>
      </c>
      <c r="H40" s="324">
        <v>43405</v>
      </c>
      <c r="I40" s="325"/>
      <c r="J40" s="324"/>
      <c r="K40" s="328"/>
      <c r="L40" s="324"/>
      <c r="M40" s="328" t="s">
        <v>393</v>
      </c>
      <c r="N40" s="324" t="s">
        <v>588</v>
      </c>
      <c r="O40" s="325"/>
      <c r="P40" s="325"/>
      <c r="Q40" s="327">
        <v>4.0599999999999996</v>
      </c>
      <c r="R40" s="324">
        <v>41760</v>
      </c>
      <c r="S40" s="337"/>
      <c r="T40" s="228">
        <v>5217228.5666666664</v>
      </c>
      <c r="U40" s="325" t="s">
        <v>405</v>
      </c>
      <c r="V40" s="325"/>
      <c r="W40" s="324">
        <v>43617</v>
      </c>
      <c r="X40" s="325" t="s">
        <v>589</v>
      </c>
      <c r="Y40" s="329" t="s">
        <v>158</v>
      </c>
      <c r="Z40" s="219"/>
      <c r="AA40" s="219"/>
      <c r="AB40" s="219"/>
      <c r="AC40" s="221">
        <v>123398831</v>
      </c>
      <c r="AD40" s="219"/>
      <c r="AE40" s="256">
        <f t="shared" si="0"/>
        <v>123398831</v>
      </c>
      <c r="AF40" s="220" t="s">
        <v>489</v>
      </c>
    </row>
    <row r="41" spans="1:32" s="310" customFormat="1" ht="99.75" customHeight="1" x14ac:dyDescent="0.2">
      <c r="A41" s="321"/>
      <c r="B41" s="322">
        <v>14</v>
      </c>
      <c r="C41" s="323" t="s">
        <v>414</v>
      </c>
      <c r="D41" s="324">
        <v>24816</v>
      </c>
      <c r="E41" s="325"/>
      <c r="F41" s="326" t="s">
        <v>590</v>
      </c>
      <c r="G41" s="327">
        <v>4.6500000000000004</v>
      </c>
      <c r="H41" s="324">
        <v>43040</v>
      </c>
      <c r="I41" s="325"/>
      <c r="J41" s="324"/>
      <c r="K41" s="328" t="s">
        <v>591</v>
      </c>
      <c r="L41" s="324" t="s">
        <v>592</v>
      </c>
      <c r="M41" s="328"/>
      <c r="N41" s="324"/>
      <c r="O41" s="325"/>
      <c r="P41" s="325"/>
      <c r="Q41" s="327">
        <v>4.32</v>
      </c>
      <c r="R41" s="324">
        <v>41944</v>
      </c>
      <c r="S41" s="337"/>
      <c r="T41" s="228">
        <v>6694514.7000000002</v>
      </c>
      <c r="U41" s="325" t="s">
        <v>527</v>
      </c>
      <c r="V41" s="325"/>
      <c r="W41" s="324">
        <v>43466</v>
      </c>
      <c r="X41" s="325" t="s">
        <v>593</v>
      </c>
      <c r="Y41" s="329" t="s">
        <v>158</v>
      </c>
      <c r="Z41" s="219"/>
      <c r="AA41" s="219"/>
      <c r="AB41" s="219"/>
      <c r="AC41" s="221">
        <v>116115797</v>
      </c>
      <c r="AD41" s="219"/>
      <c r="AE41" s="256">
        <f t="shared" si="0"/>
        <v>116115797</v>
      </c>
      <c r="AF41" s="220" t="s">
        <v>489</v>
      </c>
    </row>
    <row r="42" spans="1:32" s="310" customFormat="1" ht="99.75" customHeight="1" x14ac:dyDescent="0.2">
      <c r="A42" s="321"/>
      <c r="B42" s="322">
        <v>15</v>
      </c>
      <c r="C42" s="323" t="s">
        <v>416</v>
      </c>
      <c r="D42" s="324">
        <v>22889</v>
      </c>
      <c r="E42" s="325"/>
      <c r="F42" s="326" t="s">
        <v>594</v>
      </c>
      <c r="G42" s="327">
        <v>3.96</v>
      </c>
      <c r="H42" s="324">
        <v>42705</v>
      </c>
      <c r="I42" s="325"/>
      <c r="J42" s="324"/>
      <c r="K42" s="328" t="s">
        <v>595</v>
      </c>
      <c r="L42" s="324" t="s">
        <v>596</v>
      </c>
      <c r="M42" s="328"/>
      <c r="N42" s="324"/>
      <c r="O42" s="325"/>
      <c r="P42" s="325"/>
      <c r="Q42" s="327" t="s">
        <v>597</v>
      </c>
      <c r="R42" s="324" t="s">
        <v>598</v>
      </c>
      <c r="S42" s="337"/>
      <c r="T42" s="228">
        <v>4605188.083333333</v>
      </c>
      <c r="U42" s="325" t="s">
        <v>599</v>
      </c>
      <c r="V42" s="325"/>
      <c r="W42" s="324">
        <v>43466</v>
      </c>
      <c r="X42" s="325" t="s">
        <v>536</v>
      </c>
      <c r="Y42" s="329" t="s">
        <v>158</v>
      </c>
      <c r="Z42" s="219"/>
      <c r="AA42" s="219"/>
      <c r="AB42" s="219"/>
      <c r="AC42" s="221">
        <v>137980217</v>
      </c>
      <c r="AD42" s="219"/>
      <c r="AE42" s="256">
        <f t="shared" si="0"/>
        <v>137980217</v>
      </c>
      <c r="AF42" s="220" t="s">
        <v>489</v>
      </c>
    </row>
    <row r="43" spans="1:32" s="310" customFormat="1" ht="99.75" customHeight="1" x14ac:dyDescent="0.2">
      <c r="A43" s="321"/>
      <c r="B43" s="322">
        <v>16</v>
      </c>
      <c r="C43" s="323" t="s">
        <v>419</v>
      </c>
      <c r="D43" s="324">
        <v>23505</v>
      </c>
      <c r="E43" s="325"/>
      <c r="F43" s="326" t="s">
        <v>600</v>
      </c>
      <c r="G43" s="327" t="s">
        <v>601</v>
      </c>
      <c r="H43" s="324">
        <v>43313</v>
      </c>
      <c r="I43" s="325"/>
      <c r="J43" s="324"/>
      <c r="K43" s="328"/>
      <c r="L43" s="324"/>
      <c r="M43" s="328" t="s">
        <v>398</v>
      </c>
      <c r="N43" s="324" t="s">
        <v>602</v>
      </c>
      <c r="O43" s="325"/>
      <c r="P43" s="325"/>
      <c r="Q43" s="327"/>
      <c r="R43" s="324"/>
      <c r="S43" s="337"/>
      <c r="T43" s="228">
        <v>5575794.2333333334</v>
      </c>
      <c r="U43" s="325" t="s">
        <v>603</v>
      </c>
      <c r="V43" s="325"/>
      <c r="W43" s="324">
        <v>43617</v>
      </c>
      <c r="X43" s="325" t="s">
        <v>257</v>
      </c>
      <c r="Y43" s="329" t="s">
        <v>158</v>
      </c>
      <c r="Z43" s="219"/>
      <c r="AA43" s="219"/>
      <c r="AB43" s="219"/>
      <c r="AC43" s="221">
        <v>137962175</v>
      </c>
      <c r="AD43" s="219"/>
      <c r="AE43" s="256">
        <f t="shared" si="0"/>
        <v>137962175</v>
      </c>
      <c r="AF43" s="220" t="s">
        <v>489</v>
      </c>
    </row>
    <row r="44" spans="1:32" s="310" customFormat="1" ht="99.75" customHeight="1" x14ac:dyDescent="0.2">
      <c r="A44" s="321"/>
      <c r="B44" s="322">
        <v>17</v>
      </c>
      <c r="C44" s="323" t="s">
        <v>420</v>
      </c>
      <c r="D44" s="324">
        <v>22402</v>
      </c>
      <c r="E44" s="325"/>
      <c r="F44" s="326" t="s">
        <v>604</v>
      </c>
      <c r="G44" s="327">
        <v>4.9800000000000004</v>
      </c>
      <c r="H44" s="324">
        <v>42736</v>
      </c>
      <c r="I44" s="325" t="s">
        <v>605</v>
      </c>
      <c r="J44" s="324" t="s">
        <v>606</v>
      </c>
      <c r="K44" s="328"/>
      <c r="L44" s="324"/>
      <c r="M44" s="328"/>
      <c r="N44" s="324"/>
      <c r="O44" s="325"/>
      <c r="P44" s="325"/>
      <c r="Q44" s="327">
        <v>4.6500000000000004</v>
      </c>
      <c r="R44" s="324">
        <v>41640</v>
      </c>
      <c r="S44" s="337"/>
      <c r="T44" s="228">
        <v>6150866.666666667</v>
      </c>
      <c r="U44" s="325" t="s">
        <v>206</v>
      </c>
      <c r="V44" s="325"/>
      <c r="W44" s="324">
        <v>43466</v>
      </c>
      <c r="X44" s="325" t="s">
        <v>607</v>
      </c>
      <c r="Y44" s="329" t="s">
        <v>158</v>
      </c>
      <c r="Z44" s="219"/>
      <c r="AA44" s="219"/>
      <c r="AB44" s="219"/>
      <c r="AC44" s="221">
        <v>181060441</v>
      </c>
      <c r="AD44" s="219"/>
      <c r="AE44" s="256">
        <f t="shared" si="0"/>
        <v>181060441</v>
      </c>
      <c r="AF44" s="220" t="s">
        <v>489</v>
      </c>
    </row>
    <row r="45" spans="1:32" s="310" customFormat="1" ht="99.75" customHeight="1" x14ac:dyDescent="0.2">
      <c r="A45" s="321"/>
      <c r="B45" s="322">
        <v>18</v>
      </c>
      <c r="C45" s="323" t="s">
        <v>422</v>
      </c>
      <c r="D45" s="324">
        <v>22328</v>
      </c>
      <c r="E45" s="325"/>
      <c r="F45" s="326" t="s">
        <v>608</v>
      </c>
      <c r="G45" s="327">
        <v>3.86</v>
      </c>
      <c r="H45" s="324">
        <v>42917</v>
      </c>
      <c r="I45" s="325"/>
      <c r="J45" s="324"/>
      <c r="K45" s="328"/>
      <c r="L45" s="324"/>
      <c r="M45" s="328"/>
      <c r="N45" s="324"/>
      <c r="O45" s="325"/>
      <c r="P45" s="325"/>
      <c r="Q45" s="327" t="s">
        <v>395</v>
      </c>
      <c r="R45" s="324" t="s">
        <v>609</v>
      </c>
      <c r="S45" s="337"/>
      <c r="T45" s="228">
        <v>4468680</v>
      </c>
      <c r="U45" s="325" t="s">
        <v>610</v>
      </c>
      <c r="V45" s="325"/>
      <c r="W45" s="324">
        <v>43466</v>
      </c>
      <c r="X45" s="325" t="s">
        <v>255</v>
      </c>
      <c r="Y45" s="329" t="s">
        <v>158</v>
      </c>
      <c r="Z45" s="219"/>
      <c r="AA45" s="219"/>
      <c r="AB45" s="219"/>
      <c r="AC45" s="221">
        <v>65118113</v>
      </c>
      <c r="AD45" s="219"/>
      <c r="AE45" s="256">
        <f t="shared" si="0"/>
        <v>65118113</v>
      </c>
      <c r="AF45" s="220" t="s">
        <v>423</v>
      </c>
    </row>
    <row r="46" spans="1:32" s="310" customFormat="1" ht="99.75" customHeight="1" x14ac:dyDescent="0.2">
      <c r="A46" s="321"/>
      <c r="B46" s="322">
        <v>19</v>
      </c>
      <c r="C46" s="323" t="s">
        <v>424</v>
      </c>
      <c r="D46" s="324">
        <v>22762</v>
      </c>
      <c r="E46" s="325"/>
      <c r="F46" s="326" t="s">
        <v>608</v>
      </c>
      <c r="G46" s="327" t="s">
        <v>611</v>
      </c>
      <c r="H46" s="324">
        <v>43101</v>
      </c>
      <c r="I46" s="325"/>
      <c r="J46" s="324"/>
      <c r="K46" s="328"/>
      <c r="L46" s="324"/>
      <c r="M46" s="328" t="s">
        <v>612</v>
      </c>
      <c r="N46" s="324" t="s">
        <v>518</v>
      </c>
      <c r="O46" s="325"/>
      <c r="P46" s="325"/>
      <c r="Q46" s="327"/>
      <c r="R46" s="324"/>
      <c r="S46" s="337"/>
      <c r="T46" s="228">
        <v>5452469.0999999996</v>
      </c>
      <c r="U46" s="325" t="s">
        <v>403</v>
      </c>
      <c r="V46" s="325"/>
      <c r="W46" s="324">
        <v>43466</v>
      </c>
      <c r="X46" s="325" t="s">
        <v>557</v>
      </c>
      <c r="Y46" s="329" t="s">
        <v>158</v>
      </c>
      <c r="Z46" s="219"/>
      <c r="AA46" s="219"/>
      <c r="AB46" s="219"/>
      <c r="AC46" s="221">
        <v>144215735</v>
      </c>
      <c r="AD46" s="219"/>
      <c r="AE46" s="256">
        <f t="shared" si="0"/>
        <v>144215735</v>
      </c>
      <c r="AF46" s="220" t="s">
        <v>489</v>
      </c>
    </row>
    <row r="47" spans="1:32" s="310" customFormat="1" ht="99.75" customHeight="1" x14ac:dyDescent="0.2">
      <c r="A47" s="321"/>
      <c r="B47" s="322">
        <v>20</v>
      </c>
      <c r="C47" s="323" t="s">
        <v>425</v>
      </c>
      <c r="D47" s="324">
        <v>22798</v>
      </c>
      <c r="E47" s="325"/>
      <c r="F47" s="326" t="s">
        <v>613</v>
      </c>
      <c r="G47" s="327">
        <v>3.96</v>
      </c>
      <c r="H47" s="324">
        <v>42705</v>
      </c>
      <c r="I47" s="325"/>
      <c r="J47" s="324"/>
      <c r="K47" s="328" t="s">
        <v>407</v>
      </c>
      <c r="L47" s="324" t="s">
        <v>614</v>
      </c>
      <c r="M47" s="328"/>
      <c r="N47" s="324"/>
      <c r="O47" s="325"/>
      <c r="P47" s="325"/>
      <c r="Q47" s="327">
        <v>3.65</v>
      </c>
      <c r="R47" s="324">
        <v>41609</v>
      </c>
      <c r="S47" s="337"/>
      <c r="T47" s="228">
        <v>5442067.666666667</v>
      </c>
      <c r="U47" s="325" t="s">
        <v>391</v>
      </c>
      <c r="V47" s="325"/>
      <c r="W47" s="324">
        <v>43466</v>
      </c>
      <c r="X47" s="325" t="s">
        <v>615</v>
      </c>
      <c r="Y47" s="329" t="s">
        <v>158</v>
      </c>
      <c r="Z47" s="219"/>
      <c r="AA47" s="219"/>
      <c r="AB47" s="219"/>
      <c r="AC47" s="221">
        <v>190201304</v>
      </c>
      <c r="AD47" s="219"/>
      <c r="AE47" s="256">
        <f t="shared" si="0"/>
        <v>190201304</v>
      </c>
      <c r="AF47" s="220" t="s">
        <v>423</v>
      </c>
    </row>
    <row r="48" spans="1:32" s="310" customFormat="1" ht="148.5" customHeight="1" x14ac:dyDescent="0.2">
      <c r="A48" s="321"/>
      <c r="B48" s="322">
        <v>21</v>
      </c>
      <c r="C48" s="323" t="s">
        <v>426</v>
      </c>
      <c r="D48" s="324">
        <v>22252</v>
      </c>
      <c r="E48" s="325"/>
      <c r="F48" s="326" t="s">
        <v>616</v>
      </c>
      <c r="G48" s="327" t="s">
        <v>617</v>
      </c>
      <c r="H48" s="324">
        <v>43221</v>
      </c>
      <c r="I48" s="325">
        <v>0.3</v>
      </c>
      <c r="J48" s="324">
        <v>38261</v>
      </c>
      <c r="K48" s="328"/>
      <c r="L48" s="324"/>
      <c r="M48" s="328">
        <v>0.05</v>
      </c>
      <c r="N48" s="324">
        <v>42856</v>
      </c>
      <c r="O48" s="325"/>
      <c r="P48" s="325"/>
      <c r="Q48" s="327" t="s">
        <v>618</v>
      </c>
      <c r="R48" s="324" t="s">
        <v>619</v>
      </c>
      <c r="S48" s="337"/>
      <c r="T48" s="228">
        <v>6524214.2000000002</v>
      </c>
      <c r="U48" s="325" t="s">
        <v>172</v>
      </c>
      <c r="V48" s="325"/>
      <c r="W48" s="324">
        <v>43466</v>
      </c>
      <c r="X48" s="325" t="s">
        <v>248</v>
      </c>
      <c r="Y48" s="329" t="s">
        <v>158</v>
      </c>
      <c r="Z48" s="219"/>
      <c r="AA48" s="219"/>
      <c r="AB48" s="219"/>
      <c r="AC48" s="221">
        <v>175569291</v>
      </c>
      <c r="AD48" s="219"/>
      <c r="AE48" s="256">
        <f t="shared" si="0"/>
        <v>175569291</v>
      </c>
      <c r="AF48" s="220" t="s">
        <v>441</v>
      </c>
    </row>
    <row r="49" spans="1:32" s="310" customFormat="1" ht="138" customHeight="1" x14ac:dyDescent="0.2">
      <c r="A49" s="321"/>
      <c r="B49" s="322">
        <v>22</v>
      </c>
      <c r="C49" s="323" t="s">
        <v>427</v>
      </c>
      <c r="D49" s="324">
        <v>22487</v>
      </c>
      <c r="E49" s="325"/>
      <c r="F49" s="326" t="s">
        <v>620</v>
      </c>
      <c r="G49" s="327" t="s">
        <v>621</v>
      </c>
      <c r="H49" s="324">
        <v>43101</v>
      </c>
      <c r="I49" s="325"/>
      <c r="J49" s="324"/>
      <c r="K49" s="328"/>
      <c r="L49" s="324"/>
      <c r="M49" s="328" t="s">
        <v>622</v>
      </c>
      <c r="N49" s="324" t="s">
        <v>518</v>
      </c>
      <c r="O49" s="325"/>
      <c r="P49" s="325"/>
      <c r="Q49" s="327"/>
      <c r="R49" s="324"/>
      <c r="S49" s="337"/>
      <c r="T49" s="228">
        <v>5176561.5</v>
      </c>
      <c r="U49" s="325" t="s">
        <v>397</v>
      </c>
      <c r="V49" s="325"/>
      <c r="W49" s="324">
        <v>43466</v>
      </c>
      <c r="X49" s="325" t="s">
        <v>506</v>
      </c>
      <c r="Y49" s="329" t="s">
        <v>158</v>
      </c>
      <c r="Z49" s="219"/>
      <c r="AA49" s="219"/>
      <c r="AB49" s="219"/>
      <c r="AC49" s="221">
        <v>147183515</v>
      </c>
      <c r="AD49" s="219"/>
      <c r="AE49" s="256">
        <f t="shared" si="0"/>
        <v>147183515</v>
      </c>
      <c r="AF49" s="220" t="s">
        <v>441</v>
      </c>
    </row>
    <row r="50" spans="1:32" s="310" customFormat="1" ht="99.75" customHeight="1" x14ac:dyDescent="0.2">
      <c r="A50" s="321"/>
      <c r="B50" s="322">
        <v>23</v>
      </c>
      <c r="C50" s="323" t="s">
        <v>428</v>
      </c>
      <c r="D50" s="324">
        <v>24550</v>
      </c>
      <c r="E50" s="325"/>
      <c r="F50" s="326" t="s">
        <v>623</v>
      </c>
      <c r="G50" s="327" t="s">
        <v>444</v>
      </c>
      <c r="H50" s="324">
        <v>43101</v>
      </c>
      <c r="I50" s="325"/>
      <c r="J50" s="324"/>
      <c r="K50" s="328"/>
      <c r="L50" s="324"/>
      <c r="M50" s="328" t="s">
        <v>401</v>
      </c>
      <c r="N50" s="324" t="s">
        <v>624</v>
      </c>
      <c r="O50" s="325"/>
      <c r="P50" s="325"/>
      <c r="Q50" s="327">
        <v>4.0599999999999996</v>
      </c>
      <c r="R50" s="324">
        <v>41275</v>
      </c>
      <c r="S50" s="337"/>
      <c r="T50" s="228">
        <v>5274467.8</v>
      </c>
      <c r="U50" s="325" t="s">
        <v>399</v>
      </c>
      <c r="V50" s="325"/>
      <c r="W50" s="324">
        <v>43556</v>
      </c>
      <c r="X50" s="325" t="s">
        <v>625</v>
      </c>
      <c r="Y50" s="329" t="s">
        <v>158</v>
      </c>
      <c r="Z50" s="219"/>
      <c r="AA50" s="219"/>
      <c r="AB50" s="219"/>
      <c r="AC50" s="221">
        <v>115113100</v>
      </c>
      <c r="AD50" s="219"/>
      <c r="AE50" s="256">
        <f t="shared" si="0"/>
        <v>115113100</v>
      </c>
      <c r="AF50" s="220" t="s">
        <v>438</v>
      </c>
    </row>
    <row r="51" spans="1:32" s="310" customFormat="1" ht="99.75" customHeight="1" x14ac:dyDescent="0.2">
      <c r="A51" s="321"/>
      <c r="B51" s="322">
        <v>24</v>
      </c>
      <c r="C51" s="323" t="s">
        <v>429</v>
      </c>
      <c r="D51" s="324">
        <v>22881</v>
      </c>
      <c r="E51" s="325"/>
      <c r="F51" s="326" t="s">
        <v>626</v>
      </c>
      <c r="G51" s="327" t="s">
        <v>627</v>
      </c>
      <c r="H51" s="324">
        <v>43282</v>
      </c>
      <c r="I51" s="325"/>
      <c r="J51" s="324"/>
      <c r="K51" s="328"/>
      <c r="L51" s="324"/>
      <c r="M51" s="328" t="s">
        <v>628</v>
      </c>
      <c r="N51" s="324" t="s">
        <v>518</v>
      </c>
      <c r="O51" s="325"/>
      <c r="P51" s="325"/>
      <c r="Q51" s="327"/>
      <c r="R51" s="324"/>
      <c r="S51" s="337"/>
      <c r="T51" s="228">
        <v>5735034.2000000002</v>
      </c>
      <c r="U51" s="325" t="s">
        <v>421</v>
      </c>
      <c r="V51" s="325"/>
      <c r="W51" s="324">
        <v>43466</v>
      </c>
      <c r="X51" s="325" t="s">
        <v>536</v>
      </c>
      <c r="Y51" s="329" t="s">
        <v>158</v>
      </c>
      <c r="Z51" s="219"/>
      <c r="AA51" s="219"/>
      <c r="AB51" s="219"/>
      <c r="AC51" s="221">
        <v>179971072</v>
      </c>
      <c r="AD51" s="219"/>
      <c r="AE51" s="256">
        <f t="shared" si="0"/>
        <v>179971072</v>
      </c>
      <c r="AF51" s="220" t="s">
        <v>489</v>
      </c>
    </row>
    <row r="52" spans="1:32" s="310" customFormat="1" ht="99.75" customHeight="1" x14ac:dyDescent="0.2">
      <c r="A52" s="321"/>
      <c r="B52" s="322">
        <v>25</v>
      </c>
      <c r="C52" s="323" t="s">
        <v>437</v>
      </c>
      <c r="D52" s="324">
        <v>22558</v>
      </c>
      <c r="E52" s="325"/>
      <c r="F52" s="326" t="s">
        <v>626</v>
      </c>
      <c r="G52" s="327" t="s">
        <v>629</v>
      </c>
      <c r="H52" s="324">
        <v>43282</v>
      </c>
      <c r="I52" s="325"/>
      <c r="J52" s="324"/>
      <c r="K52" s="328"/>
      <c r="L52" s="324"/>
      <c r="M52" s="328" t="s">
        <v>269</v>
      </c>
      <c r="N52" s="324" t="s">
        <v>518</v>
      </c>
      <c r="O52" s="325"/>
      <c r="P52" s="325"/>
      <c r="Q52" s="327"/>
      <c r="R52" s="324"/>
      <c r="S52" s="337"/>
      <c r="T52" s="228">
        <v>6488691</v>
      </c>
      <c r="U52" s="325" t="s">
        <v>630</v>
      </c>
      <c r="V52" s="325"/>
      <c r="W52" s="324">
        <v>43466</v>
      </c>
      <c r="X52" s="325" t="s">
        <v>631</v>
      </c>
      <c r="Y52" s="329" t="s">
        <v>158</v>
      </c>
      <c r="Z52" s="219"/>
      <c r="AA52" s="219"/>
      <c r="AB52" s="219"/>
      <c r="AC52" s="221">
        <v>157495039</v>
      </c>
      <c r="AD52" s="219"/>
      <c r="AE52" s="256">
        <f t="shared" si="0"/>
        <v>157495039</v>
      </c>
      <c r="AF52" s="220" t="s">
        <v>489</v>
      </c>
    </row>
    <row r="53" spans="1:32" s="310" customFormat="1" ht="78" customHeight="1" x14ac:dyDescent="0.2">
      <c r="A53" s="321"/>
      <c r="B53" s="322">
        <v>26</v>
      </c>
      <c r="C53" s="323" t="s">
        <v>442</v>
      </c>
      <c r="D53" s="324">
        <v>22604</v>
      </c>
      <c r="E53" s="325"/>
      <c r="F53" s="326" t="s">
        <v>632</v>
      </c>
      <c r="G53" s="327" t="s">
        <v>629</v>
      </c>
      <c r="H53" s="324">
        <v>43101</v>
      </c>
      <c r="I53" s="325">
        <v>0.6</v>
      </c>
      <c r="J53" s="324">
        <v>39783</v>
      </c>
      <c r="K53" s="328"/>
      <c r="L53" s="324"/>
      <c r="M53" s="328" t="s">
        <v>269</v>
      </c>
      <c r="N53" s="324" t="s">
        <v>518</v>
      </c>
      <c r="O53" s="325"/>
      <c r="P53" s="325"/>
      <c r="Q53" s="327"/>
      <c r="R53" s="324"/>
      <c r="S53" s="337"/>
      <c r="T53" s="228">
        <v>7225965</v>
      </c>
      <c r="U53" s="325" t="s">
        <v>535</v>
      </c>
      <c r="V53" s="325"/>
      <c r="W53" s="324">
        <v>43466</v>
      </c>
      <c r="X53" s="325" t="s">
        <v>633</v>
      </c>
      <c r="Y53" s="329" t="s">
        <v>158</v>
      </c>
      <c r="Z53" s="219"/>
      <c r="AA53" s="219"/>
      <c r="AB53" s="219"/>
      <c r="AC53" s="221">
        <v>148837656</v>
      </c>
      <c r="AD53" s="219"/>
      <c r="AE53" s="256">
        <f t="shared" si="0"/>
        <v>148837656</v>
      </c>
      <c r="AF53" s="220" t="s">
        <v>423</v>
      </c>
    </row>
    <row r="54" spans="1:32" s="310" customFormat="1" ht="78" customHeight="1" x14ac:dyDescent="0.2">
      <c r="A54" s="321"/>
      <c r="B54" s="322">
        <v>27</v>
      </c>
      <c r="C54" s="323" t="s">
        <v>443</v>
      </c>
      <c r="D54" s="324">
        <v>32035</v>
      </c>
      <c r="E54" s="325"/>
      <c r="F54" s="326" t="s">
        <v>634</v>
      </c>
      <c r="G54" s="327">
        <v>2.06</v>
      </c>
      <c r="H54" s="324">
        <v>41821</v>
      </c>
      <c r="I54" s="325"/>
      <c r="J54" s="324"/>
      <c r="K54" s="328"/>
      <c r="L54" s="324"/>
      <c r="M54" s="328"/>
      <c r="N54" s="324"/>
      <c r="O54" s="325"/>
      <c r="P54" s="325"/>
      <c r="Q54" s="327">
        <v>1.86</v>
      </c>
      <c r="R54" s="324">
        <v>40544</v>
      </c>
      <c r="S54" s="337">
        <v>2492600</v>
      </c>
      <c r="T54" s="228">
        <v>1995540</v>
      </c>
      <c r="U54" s="325" t="s">
        <v>431</v>
      </c>
      <c r="V54" s="325"/>
      <c r="W54" s="324">
        <v>43466</v>
      </c>
      <c r="X54" s="325" t="s">
        <v>635</v>
      </c>
      <c r="Y54" s="219" t="s">
        <v>158</v>
      </c>
      <c r="Z54" s="219"/>
      <c r="AA54" s="219"/>
      <c r="AB54" s="219"/>
      <c r="AC54" s="221">
        <v>159883492</v>
      </c>
      <c r="AD54" s="256"/>
      <c r="AE54" s="256">
        <f t="shared" si="0"/>
        <v>159883492</v>
      </c>
      <c r="AF54" s="220" t="s">
        <v>445</v>
      </c>
    </row>
    <row r="55" spans="1:32" s="310" customFormat="1" ht="78" customHeight="1" x14ac:dyDescent="0.2">
      <c r="A55" s="321"/>
      <c r="B55" s="322">
        <v>28</v>
      </c>
      <c r="C55" s="323" t="s">
        <v>446</v>
      </c>
      <c r="D55" s="324">
        <v>23505</v>
      </c>
      <c r="E55" s="325"/>
      <c r="F55" s="326" t="s">
        <v>600</v>
      </c>
      <c r="G55" s="327" t="s">
        <v>601</v>
      </c>
      <c r="H55" s="324">
        <v>43313</v>
      </c>
      <c r="I55" s="325"/>
      <c r="J55" s="324"/>
      <c r="K55" s="328"/>
      <c r="L55" s="324"/>
      <c r="M55" s="328" t="s">
        <v>398</v>
      </c>
      <c r="N55" s="324" t="s">
        <v>602</v>
      </c>
      <c r="O55" s="325"/>
      <c r="P55" s="325"/>
      <c r="Q55" s="327"/>
      <c r="R55" s="324"/>
      <c r="S55" s="337"/>
      <c r="T55" s="228">
        <v>5575794.2333333334</v>
      </c>
      <c r="U55" s="325" t="s">
        <v>603</v>
      </c>
      <c r="V55" s="325"/>
      <c r="W55" s="324">
        <v>43617</v>
      </c>
      <c r="X55" s="325" t="s">
        <v>257</v>
      </c>
      <c r="Y55" s="329" t="s">
        <v>158</v>
      </c>
      <c r="Z55" s="219"/>
      <c r="AA55" s="219"/>
      <c r="AB55" s="219"/>
      <c r="AC55" s="221">
        <v>153295475</v>
      </c>
      <c r="AD55" s="219"/>
      <c r="AE55" s="256">
        <f t="shared" si="0"/>
        <v>153295475</v>
      </c>
      <c r="AF55" s="220" t="s">
        <v>423</v>
      </c>
    </row>
    <row r="56" spans="1:32" s="310" customFormat="1" ht="62.25" customHeight="1" x14ac:dyDescent="0.2">
      <c r="A56" s="321"/>
      <c r="B56" s="322">
        <v>29</v>
      </c>
      <c r="C56" s="323" t="s">
        <v>447</v>
      </c>
      <c r="D56" s="324">
        <v>22402</v>
      </c>
      <c r="E56" s="325"/>
      <c r="F56" s="326" t="s">
        <v>604</v>
      </c>
      <c r="G56" s="327">
        <v>4.9800000000000004</v>
      </c>
      <c r="H56" s="324">
        <v>42736</v>
      </c>
      <c r="I56" s="325" t="s">
        <v>605</v>
      </c>
      <c r="J56" s="324" t="s">
        <v>606</v>
      </c>
      <c r="K56" s="328"/>
      <c r="L56" s="324"/>
      <c r="M56" s="328"/>
      <c r="N56" s="324"/>
      <c r="O56" s="325"/>
      <c r="P56" s="325"/>
      <c r="Q56" s="327">
        <v>4.6500000000000004</v>
      </c>
      <c r="R56" s="324">
        <v>41640</v>
      </c>
      <c r="S56" s="337"/>
      <c r="T56" s="228">
        <v>6150866.666666667</v>
      </c>
      <c r="U56" s="325" t="s">
        <v>206</v>
      </c>
      <c r="V56" s="325"/>
      <c r="W56" s="324">
        <v>43466</v>
      </c>
      <c r="X56" s="325" t="s">
        <v>607</v>
      </c>
      <c r="Y56" s="329" t="s">
        <v>158</v>
      </c>
      <c r="Z56" s="219"/>
      <c r="AA56" s="219"/>
      <c r="AB56" s="219"/>
      <c r="AC56" s="221">
        <v>84858986</v>
      </c>
      <c r="AD56" s="219"/>
      <c r="AE56" s="256">
        <f t="shared" si="0"/>
        <v>84858986</v>
      </c>
      <c r="AF56" s="220" t="s">
        <v>423</v>
      </c>
    </row>
    <row r="57" spans="1:32" s="310" customFormat="1" ht="87" customHeight="1" x14ac:dyDescent="0.2">
      <c r="A57" s="321"/>
      <c r="B57" s="322">
        <v>30</v>
      </c>
      <c r="C57" s="323" t="s">
        <v>460</v>
      </c>
      <c r="D57" s="324">
        <v>22328</v>
      </c>
      <c r="E57" s="325"/>
      <c r="F57" s="326" t="s">
        <v>608</v>
      </c>
      <c r="G57" s="327">
        <v>3.86</v>
      </c>
      <c r="H57" s="324">
        <v>42917</v>
      </c>
      <c r="I57" s="325"/>
      <c r="J57" s="324"/>
      <c r="K57" s="328"/>
      <c r="L57" s="324"/>
      <c r="M57" s="328"/>
      <c r="N57" s="324"/>
      <c r="O57" s="325"/>
      <c r="P57" s="325"/>
      <c r="Q57" s="327" t="s">
        <v>395</v>
      </c>
      <c r="R57" s="324" t="s">
        <v>609</v>
      </c>
      <c r="S57" s="337"/>
      <c r="T57" s="228">
        <v>4468680</v>
      </c>
      <c r="U57" s="325" t="s">
        <v>610</v>
      </c>
      <c r="V57" s="325"/>
      <c r="W57" s="324">
        <v>43466</v>
      </c>
      <c r="X57" s="325" t="s">
        <v>255</v>
      </c>
      <c r="Y57" s="329" t="s">
        <v>158</v>
      </c>
      <c r="Z57" s="219"/>
      <c r="AA57" s="219"/>
      <c r="AB57" s="219"/>
      <c r="AC57" s="221">
        <v>112267600</v>
      </c>
      <c r="AD57" s="219"/>
      <c r="AE57" s="256">
        <f t="shared" si="0"/>
        <v>112267600</v>
      </c>
      <c r="AF57" s="220" t="s">
        <v>461</v>
      </c>
    </row>
    <row r="58" spans="1:32" s="310" customFormat="1" ht="81" customHeight="1" x14ac:dyDescent="0.2">
      <c r="A58" s="321"/>
      <c r="B58" s="322">
        <v>31</v>
      </c>
      <c r="C58" s="323" t="s">
        <v>462</v>
      </c>
      <c r="D58" s="324">
        <v>22762</v>
      </c>
      <c r="E58" s="325"/>
      <c r="F58" s="326" t="s">
        <v>608</v>
      </c>
      <c r="G58" s="327" t="s">
        <v>611</v>
      </c>
      <c r="H58" s="324">
        <v>43101</v>
      </c>
      <c r="I58" s="325"/>
      <c r="J58" s="324"/>
      <c r="K58" s="328"/>
      <c r="L58" s="324"/>
      <c r="M58" s="328" t="s">
        <v>612</v>
      </c>
      <c r="N58" s="324" t="s">
        <v>518</v>
      </c>
      <c r="O58" s="325"/>
      <c r="P58" s="325"/>
      <c r="Q58" s="327"/>
      <c r="R58" s="324"/>
      <c r="S58" s="337"/>
      <c r="T58" s="228">
        <v>5452469.0999999996</v>
      </c>
      <c r="U58" s="325" t="s">
        <v>403</v>
      </c>
      <c r="V58" s="325"/>
      <c r="W58" s="324">
        <v>43466</v>
      </c>
      <c r="X58" s="325" t="s">
        <v>557</v>
      </c>
      <c r="Y58" s="329" t="s">
        <v>158</v>
      </c>
      <c r="Z58" s="219"/>
      <c r="AA58" s="219"/>
      <c r="AB58" s="219"/>
      <c r="AC58" s="221">
        <v>106410586</v>
      </c>
      <c r="AD58" s="219"/>
      <c r="AE58" s="256">
        <f t="shared" si="0"/>
        <v>106410586</v>
      </c>
      <c r="AF58" s="220" t="s">
        <v>463</v>
      </c>
    </row>
    <row r="59" spans="1:32" s="310" customFormat="1" ht="193.5" customHeight="1" x14ac:dyDescent="0.2">
      <c r="A59" s="321"/>
      <c r="B59" s="322">
        <v>32</v>
      </c>
      <c r="C59" s="323" t="s">
        <v>467</v>
      </c>
      <c r="D59" s="324">
        <v>22798</v>
      </c>
      <c r="E59" s="325"/>
      <c r="F59" s="326" t="s">
        <v>613</v>
      </c>
      <c r="G59" s="327">
        <v>3.96</v>
      </c>
      <c r="H59" s="324">
        <v>42705</v>
      </c>
      <c r="I59" s="325"/>
      <c r="J59" s="324"/>
      <c r="K59" s="328" t="s">
        <v>407</v>
      </c>
      <c r="L59" s="324" t="s">
        <v>614</v>
      </c>
      <c r="M59" s="328"/>
      <c r="N59" s="324"/>
      <c r="O59" s="325"/>
      <c r="P59" s="325"/>
      <c r="Q59" s="327">
        <v>3.65</v>
      </c>
      <c r="R59" s="324">
        <v>41609</v>
      </c>
      <c r="S59" s="337"/>
      <c r="T59" s="228">
        <v>5442067.666666667</v>
      </c>
      <c r="U59" s="325" t="s">
        <v>391</v>
      </c>
      <c r="V59" s="325"/>
      <c r="W59" s="324">
        <v>43466</v>
      </c>
      <c r="X59" s="325" t="s">
        <v>615</v>
      </c>
      <c r="Y59" s="329" t="s">
        <v>158</v>
      </c>
      <c r="Z59" s="219"/>
      <c r="AA59" s="219"/>
      <c r="AB59" s="219"/>
      <c r="AC59" s="221">
        <v>175738262</v>
      </c>
      <c r="AD59" s="219"/>
      <c r="AE59" s="256">
        <f t="shared" si="0"/>
        <v>175738262</v>
      </c>
      <c r="AF59" s="220" t="s">
        <v>639</v>
      </c>
    </row>
    <row r="60" spans="1:32" s="310" customFormat="1" ht="105.75" customHeight="1" x14ac:dyDescent="0.2">
      <c r="A60" s="321"/>
      <c r="B60" s="322">
        <v>33</v>
      </c>
      <c r="C60" s="323" t="s">
        <v>472</v>
      </c>
      <c r="D60" s="324">
        <v>22252</v>
      </c>
      <c r="E60" s="325"/>
      <c r="F60" s="326" t="s">
        <v>616</v>
      </c>
      <c r="G60" s="327" t="s">
        <v>617</v>
      </c>
      <c r="H60" s="324">
        <v>43221</v>
      </c>
      <c r="I60" s="325">
        <v>0.3</v>
      </c>
      <c r="J60" s="324">
        <v>38261</v>
      </c>
      <c r="K60" s="328"/>
      <c r="L60" s="324"/>
      <c r="M60" s="328">
        <v>0.05</v>
      </c>
      <c r="N60" s="324">
        <v>42856</v>
      </c>
      <c r="O60" s="325"/>
      <c r="P60" s="325"/>
      <c r="Q60" s="327" t="s">
        <v>618</v>
      </c>
      <c r="R60" s="324" t="s">
        <v>619</v>
      </c>
      <c r="S60" s="337"/>
      <c r="T60" s="228">
        <v>6524214.2000000002</v>
      </c>
      <c r="U60" s="325" t="s">
        <v>172</v>
      </c>
      <c r="V60" s="325"/>
      <c r="W60" s="324">
        <v>43466</v>
      </c>
      <c r="X60" s="325" t="s">
        <v>248</v>
      </c>
      <c r="Y60" s="329" t="s">
        <v>158</v>
      </c>
      <c r="Z60" s="219"/>
      <c r="AA60" s="219"/>
      <c r="AB60" s="219"/>
      <c r="AC60" s="221">
        <v>185258435</v>
      </c>
      <c r="AD60" s="219"/>
      <c r="AE60" s="256">
        <f t="shared" si="0"/>
        <v>185258435</v>
      </c>
      <c r="AF60" s="220" t="s">
        <v>493</v>
      </c>
    </row>
    <row r="61" spans="1:32" s="310" customFormat="1" ht="100.5" customHeight="1" x14ac:dyDescent="0.2">
      <c r="A61" s="321"/>
      <c r="B61" s="322">
        <v>34</v>
      </c>
      <c r="C61" s="323" t="s">
        <v>473</v>
      </c>
      <c r="D61" s="324">
        <v>22487</v>
      </c>
      <c r="E61" s="325"/>
      <c r="F61" s="326" t="s">
        <v>620</v>
      </c>
      <c r="G61" s="327" t="s">
        <v>621</v>
      </c>
      <c r="H61" s="324">
        <v>43101</v>
      </c>
      <c r="I61" s="325"/>
      <c r="J61" s="324"/>
      <c r="K61" s="328"/>
      <c r="L61" s="324"/>
      <c r="M61" s="328" t="s">
        <v>622</v>
      </c>
      <c r="N61" s="324" t="s">
        <v>518</v>
      </c>
      <c r="O61" s="325"/>
      <c r="P61" s="325"/>
      <c r="Q61" s="327"/>
      <c r="R61" s="324"/>
      <c r="S61" s="337"/>
      <c r="T61" s="228">
        <v>5176561.5</v>
      </c>
      <c r="U61" s="325" t="s">
        <v>397</v>
      </c>
      <c r="V61" s="325"/>
      <c r="W61" s="324">
        <v>43466</v>
      </c>
      <c r="X61" s="325" t="s">
        <v>506</v>
      </c>
      <c r="Y61" s="329" t="s">
        <v>158</v>
      </c>
      <c r="Z61" s="219"/>
      <c r="AA61" s="219"/>
      <c r="AB61" s="219"/>
      <c r="AC61" s="221">
        <v>155802467</v>
      </c>
      <c r="AD61" s="219"/>
      <c r="AE61" s="256">
        <f t="shared" si="0"/>
        <v>155802467</v>
      </c>
      <c r="AF61" s="220" t="s">
        <v>494</v>
      </c>
    </row>
    <row r="62" spans="1:32" s="310" customFormat="1" ht="108.75" customHeight="1" x14ac:dyDescent="0.2">
      <c r="A62" s="321"/>
      <c r="B62" s="322">
        <v>35</v>
      </c>
      <c r="C62" s="323" t="s">
        <v>483</v>
      </c>
      <c r="D62" s="324">
        <v>24550</v>
      </c>
      <c r="E62" s="325"/>
      <c r="F62" s="326" t="s">
        <v>623</v>
      </c>
      <c r="G62" s="327" t="s">
        <v>444</v>
      </c>
      <c r="H62" s="324">
        <v>43101</v>
      </c>
      <c r="I62" s="325"/>
      <c r="J62" s="324"/>
      <c r="K62" s="328"/>
      <c r="L62" s="324"/>
      <c r="M62" s="328" t="s">
        <v>401</v>
      </c>
      <c r="N62" s="324" t="s">
        <v>624</v>
      </c>
      <c r="O62" s="325"/>
      <c r="P62" s="325"/>
      <c r="Q62" s="327">
        <v>4.0599999999999996</v>
      </c>
      <c r="R62" s="324">
        <v>41275</v>
      </c>
      <c r="S62" s="337"/>
      <c r="T62" s="228">
        <v>5274467.8</v>
      </c>
      <c r="U62" s="325" t="s">
        <v>399</v>
      </c>
      <c r="V62" s="325"/>
      <c r="W62" s="324">
        <v>43556</v>
      </c>
      <c r="X62" s="325" t="s">
        <v>625</v>
      </c>
      <c r="Y62" s="329" t="s">
        <v>158</v>
      </c>
      <c r="Z62" s="219"/>
      <c r="AA62" s="219"/>
      <c r="AB62" s="219"/>
      <c r="AC62" s="221">
        <v>119077232</v>
      </c>
      <c r="AD62" s="219"/>
      <c r="AE62" s="256">
        <f t="shared" si="0"/>
        <v>119077232</v>
      </c>
      <c r="AF62" s="220" t="s">
        <v>493</v>
      </c>
    </row>
    <row r="63" spans="1:32" s="310" customFormat="1" ht="108.75" customHeight="1" x14ac:dyDescent="0.2">
      <c r="A63" s="321"/>
      <c r="B63" s="322">
        <v>36</v>
      </c>
      <c r="C63" s="323" t="s">
        <v>477</v>
      </c>
      <c r="D63" s="324">
        <v>22881</v>
      </c>
      <c r="E63" s="325"/>
      <c r="F63" s="326" t="s">
        <v>626</v>
      </c>
      <c r="G63" s="327" t="s">
        <v>627</v>
      </c>
      <c r="H63" s="324">
        <v>43282</v>
      </c>
      <c r="I63" s="325"/>
      <c r="J63" s="324"/>
      <c r="K63" s="328"/>
      <c r="L63" s="324"/>
      <c r="M63" s="328" t="s">
        <v>628</v>
      </c>
      <c r="N63" s="324" t="s">
        <v>518</v>
      </c>
      <c r="O63" s="325"/>
      <c r="P63" s="325"/>
      <c r="Q63" s="327"/>
      <c r="R63" s="324"/>
      <c r="S63" s="337"/>
      <c r="T63" s="228">
        <v>5735034.2000000002</v>
      </c>
      <c r="U63" s="325" t="s">
        <v>421</v>
      </c>
      <c r="V63" s="325"/>
      <c r="W63" s="324">
        <v>43466</v>
      </c>
      <c r="X63" s="325" t="s">
        <v>536</v>
      </c>
      <c r="Y63" s="329" t="s">
        <v>158</v>
      </c>
      <c r="Z63" s="219"/>
      <c r="AA63" s="219"/>
      <c r="AB63" s="219"/>
      <c r="AC63" s="221">
        <v>102346506</v>
      </c>
      <c r="AD63" s="219"/>
      <c r="AE63" s="256">
        <f t="shared" si="0"/>
        <v>102346506</v>
      </c>
      <c r="AF63" s="220" t="s">
        <v>641</v>
      </c>
    </row>
    <row r="64" spans="1:32" s="310" customFormat="1" ht="202.5" customHeight="1" x14ac:dyDescent="0.2">
      <c r="A64" s="321"/>
      <c r="B64" s="322">
        <v>37</v>
      </c>
      <c r="C64" s="323" t="s">
        <v>470</v>
      </c>
      <c r="D64" s="324">
        <v>22558</v>
      </c>
      <c r="E64" s="325"/>
      <c r="F64" s="326" t="s">
        <v>626</v>
      </c>
      <c r="G64" s="327" t="s">
        <v>629</v>
      </c>
      <c r="H64" s="324">
        <v>43282</v>
      </c>
      <c r="I64" s="325"/>
      <c r="J64" s="324"/>
      <c r="K64" s="328"/>
      <c r="L64" s="324"/>
      <c r="M64" s="328" t="s">
        <v>269</v>
      </c>
      <c r="N64" s="324" t="s">
        <v>518</v>
      </c>
      <c r="O64" s="325"/>
      <c r="P64" s="325"/>
      <c r="Q64" s="327"/>
      <c r="R64" s="324"/>
      <c r="S64" s="337"/>
      <c r="T64" s="228">
        <v>6488691</v>
      </c>
      <c r="U64" s="325" t="s">
        <v>630</v>
      </c>
      <c r="V64" s="325"/>
      <c r="W64" s="324">
        <v>43466</v>
      </c>
      <c r="X64" s="325" t="s">
        <v>631</v>
      </c>
      <c r="Y64" s="329"/>
      <c r="Z64" s="219"/>
      <c r="AA64" s="219" t="s">
        <v>158</v>
      </c>
      <c r="AB64" s="219"/>
      <c r="AC64" s="221">
        <v>313412705</v>
      </c>
      <c r="AD64" s="256">
        <v>24892071</v>
      </c>
      <c r="AE64" s="256">
        <v>288520634</v>
      </c>
      <c r="AF64" s="220" t="s">
        <v>640</v>
      </c>
    </row>
    <row r="65" spans="1:43" s="310" customFormat="1" ht="101.25" customHeight="1" x14ac:dyDescent="0.2">
      <c r="A65" s="321"/>
      <c r="B65" s="322">
        <v>38</v>
      </c>
      <c r="C65" s="323" t="s">
        <v>476</v>
      </c>
      <c r="D65" s="324">
        <v>22604</v>
      </c>
      <c r="E65" s="325"/>
      <c r="F65" s="326" t="s">
        <v>632</v>
      </c>
      <c r="G65" s="327" t="s">
        <v>629</v>
      </c>
      <c r="H65" s="324">
        <v>43101</v>
      </c>
      <c r="I65" s="325">
        <v>0.6</v>
      </c>
      <c r="J65" s="324">
        <v>39783</v>
      </c>
      <c r="K65" s="328"/>
      <c r="L65" s="324"/>
      <c r="M65" s="328" t="s">
        <v>269</v>
      </c>
      <c r="N65" s="324" t="s">
        <v>518</v>
      </c>
      <c r="O65" s="325"/>
      <c r="P65" s="325"/>
      <c r="Q65" s="327"/>
      <c r="R65" s="324"/>
      <c r="S65" s="337"/>
      <c r="T65" s="228">
        <v>7225965</v>
      </c>
      <c r="U65" s="325" t="s">
        <v>535</v>
      </c>
      <c r="V65" s="325"/>
      <c r="W65" s="324">
        <v>43466</v>
      </c>
      <c r="X65" s="325" t="s">
        <v>633</v>
      </c>
      <c r="Y65" s="329"/>
      <c r="Z65" s="219"/>
      <c r="AA65" s="219" t="s">
        <v>158</v>
      </c>
      <c r="AB65" s="219"/>
      <c r="AC65" s="221">
        <v>41338500</v>
      </c>
      <c r="AD65" s="256">
        <v>10057500</v>
      </c>
      <c r="AE65" s="256">
        <v>31281000</v>
      </c>
      <c r="AF65" s="220" t="s">
        <v>465</v>
      </c>
    </row>
    <row r="66" spans="1:43" s="310" customFormat="1" ht="101.25" customHeight="1" x14ac:dyDescent="0.2">
      <c r="A66" s="321"/>
      <c r="B66" s="322">
        <v>39</v>
      </c>
      <c r="C66" s="323" t="s">
        <v>495</v>
      </c>
      <c r="D66" s="324">
        <v>32035</v>
      </c>
      <c r="E66" s="325"/>
      <c r="F66" s="326" t="s">
        <v>634</v>
      </c>
      <c r="G66" s="327">
        <v>2.06</v>
      </c>
      <c r="H66" s="324">
        <v>41821</v>
      </c>
      <c r="I66" s="325"/>
      <c r="J66" s="324"/>
      <c r="K66" s="328"/>
      <c r="L66" s="324"/>
      <c r="M66" s="328"/>
      <c r="N66" s="324"/>
      <c r="O66" s="325"/>
      <c r="P66" s="325"/>
      <c r="Q66" s="327">
        <v>1.86</v>
      </c>
      <c r="R66" s="324">
        <v>40544</v>
      </c>
      <c r="S66" s="337">
        <v>2492600</v>
      </c>
      <c r="T66" s="228">
        <v>1995540</v>
      </c>
      <c r="U66" s="325" t="s">
        <v>431</v>
      </c>
      <c r="V66" s="325"/>
      <c r="W66" s="324">
        <v>43466</v>
      </c>
      <c r="X66" s="325" t="s">
        <v>635</v>
      </c>
      <c r="Y66" s="219"/>
      <c r="Z66" s="219"/>
      <c r="AA66" s="219" t="s">
        <v>158</v>
      </c>
      <c r="AB66" s="219"/>
      <c r="AC66" s="221">
        <v>49310000</v>
      </c>
      <c r="AD66" s="256">
        <v>10057500</v>
      </c>
      <c r="AE66" s="256">
        <v>39252500</v>
      </c>
      <c r="AF66" s="220" t="s">
        <v>475</v>
      </c>
    </row>
    <row r="67" spans="1:43" s="298" customFormat="1" ht="24.75" hidden="1" customHeight="1" x14ac:dyDescent="0.2">
      <c r="B67" s="311" t="s">
        <v>359</v>
      </c>
      <c r="C67" s="312" t="s">
        <v>360</v>
      </c>
      <c r="D67" s="313"/>
      <c r="E67" s="313" t="str">
        <f>COUNTA(D68:D106)&amp;" HỒ SƠ"</f>
        <v>7 HỒ SƠ</v>
      </c>
      <c r="F67" s="314"/>
      <c r="G67" s="314"/>
      <c r="H67" s="314"/>
      <c r="I67" s="314"/>
      <c r="J67" s="314"/>
      <c r="K67" s="314"/>
      <c r="L67" s="314"/>
      <c r="M67" s="314"/>
      <c r="N67" s="314"/>
      <c r="O67" s="314"/>
      <c r="P67" s="314"/>
      <c r="Q67" s="314"/>
      <c r="R67" s="314"/>
      <c r="S67" s="315"/>
      <c r="T67" s="316"/>
      <c r="U67" s="314"/>
      <c r="V67" s="314"/>
      <c r="W67" s="317"/>
      <c r="X67" s="314"/>
      <c r="Y67" s="314"/>
      <c r="Z67" s="314"/>
      <c r="AA67" s="314"/>
      <c r="AB67" s="314"/>
      <c r="AC67" s="318">
        <f>SUM(AC68:AC73)</f>
        <v>0</v>
      </c>
      <c r="AD67" s="318"/>
      <c r="AE67" s="318">
        <f>SUM(AE68:AE73)</f>
        <v>0</v>
      </c>
      <c r="AF67" s="319"/>
    </row>
    <row r="68" spans="1:43" s="298" customFormat="1" ht="36" hidden="1" customHeight="1" x14ac:dyDescent="0.2">
      <c r="A68" s="321"/>
      <c r="B68" s="322">
        <v>1</v>
      </c>
      <c r="C68" s="323"/>
      <c r="D68" s="324">
        <v>22486</v>
      </c>
      <c r="E68" s="325"/>
      <c r="F68" s="326" t="s">
        <v>504</v>
      </c>
      <c r="G68" s="327">
        <v>4.9800000000000004</v>
      </c>
      <c r="H68" s="324">
        <v>42370</v>
      </c>
      <c r="I68" s="325"/>
      <c r="J68" s="324"/>
      <c r="K68" s="328"/>
      <c r="L68" s="324"/>
      <c r="M68" s="328"/>
      <c r="N68" s="324"/>
      <c r="O68" s="325"/>
      <c r="P68" s="325"/>
      <c r="Q68" s="327">
        <v>4.6500000000000004</v>
      </c>
      <c r="R68" s="324">
        <v>41275</v>
      </c>
      <c r="S68" s="228"/>
      <c r="T68" s="228">
        <v>5913840</v>
      </c>
      <c r="U68" s="325" t="s">
        <v>505</v>
      </c>
      <c r="V68" s="325"/>
      <c r="W68" s="324">
        <v>43466</v>
      </c>
      <c r="X68" s="325" t="s">
        <v>506</v>
      </c>
      <c r="Y68" s="329" t="s">
        <v>158</v>
      </c>
      <c r="Z68" s="329"/>
      <c r="AA68" s="330"/>
      <c r="AB68" s="330"/>
      <c r="AC68" s="331"/>
      <c r="AD68" s="330"/>
      <c r="AE68" s="332"/>
      <c r="AF68" s="220"/>
    </row>
    <row r="69" spans="1:43" s="298" customFormat="1" ht="36" hidden="1" customHeight="1" x14ac:dyDescent="0.2">
      <c r="A69" s="321"/>
      <c r="B69" s="322">
        <v>2</v>
      </c>
      <c r="C69" s="323"/>
      <c r="D69" s="324">
        <v>22439</v>
      </c>
      <c r="E69" s="325"/>
      <c r="F69" s="326" t="s">
        <v>504</v>
      </c>
      <c r="G69" s="327">
        <v>3.66</v>
      </c>
      <c r="H69" s="324">
        <v>43405</v>
      </c>
      <c r="I69" s="325"/>
      <c r="J69" s="324"/>
      <c r="K69" s="328"/>
      <c r="L69" s="324"/>
      <c r="M69" s="328"/>
      <c r="N69" s="324"/>
      <c r="O69" s="325"/>
      <c r="P69" s="325"/>
      <c r="Q69" s="327" t="s">
        <v>507</v>
      </c>
      <c r="R69" s="324" t="s">
        <v>508</v>
      </c>
      <c r="S69" s="228"/>
      <c r="T69" s="228">
        <v>4053680</v>
      </c>
      <c r="U69" s="325" t="s">
        <v>509</v>
      </c>
      <c r="V69" s="325"/>
      <c r="W69" s="324">
        <v>43466</v>
      </c>
      <c r="X69" s="325" t="s">
        <v>366</v>
      </c>
      <c r="Y69" s="329" t="s">
        <v>158</v>
      </c>
      <c r="Z69" s="329"/>
      <c r="AA69" s="330"/>
      <c r="AB69" s="330"/>
      <c r="AC69" s="331"/>
      <c r="AD69" s="330"/>
      <c r="AE69" s="332"/>
      <c r="AF69" s="220"/>
    </row>
    <row r="70" spans="1:43" s="298" customFormat="1" ht="36" hidden="1" customHeight="1" x14ac:dyDescent="0.2">
      <c r="A70" s="321"/>
      <c r="B70" s="322">
        <v>3</v>
      </c>
      <c r="C70" s="323"/>
      <c r="D70" s="324">
        <v>22008</v>
      </c>
      <c r="E70" s="325"/>
      <c r="F70" s="326" t="s">
        <v>510</v>
      </c>
      <c r="G70" s="327">
        <v>2.0699999999999998</v>
      </c>
      <c r="H70" s="324">
        <v>43101</v>
      </c>
      <c r="I70" s="325"/>
      <c r="J70" s="324"/>
      <c r="K70" s="328"/>
      <c r="L70" s="324"/>
      <c r="M70" s="328"/>
      <c r="N70" s="324"/>
      <c r="O70" s="325"/>
      <c r="P70" s="325"/>
      <c r="Q70" s="327" t="s">
        <v>511</v>
      </c>
      <c r="R70" s="324" t="s">
        <v>512</v>
      </c>
      <c r="S70" s="228"/>
      <c r="T70" s="228"/>
      <c r="U70" s="325" t="s">
        <v>513</v>
      </c>
      <c r="V70" s="325"/>
      <c r="W70" s="324">
        <v>43466</v>
      </c>
      <c r="X70" s="325" t="s">
        <v>514</v>
      </c>
      <c r="Y70" s="329" t="s">
        <v>158</v>
      </c>
      <c r="Z70" s="329"/>
      <c r="AA70" s="330"/>
      <c r="AB70" s="330"/>
      <c r="AC70" s="331"/>
      <c r="AD70" s="330"/>
      <c r="AE70" s="332"/>
      <c r="AF70" s="220"/>
    </row>
    <row r="71" spans="1:43" s="298" customFormat="1" ht="52.5" hidden="1" customHeight="1" x14ac:dyDescent="0.2">
      <c r="A71" s="321"/>
      <c r="B71" s="322">
        <v>4</v>
      </c>
      <c r="C71" s="323"/>
      <c r="D71" s="324">
        <v>22262</v>
      </c>
      <c r="E71" s="325"/>
      <c r="F71" s="326" t="s">
        <v>515</v>
      </c>
      <c r="G71" s="327" t="s">
        <v>516</v>
      </c>
      <c r="H71" s="324">
        <v>43282</v>
      </c>
      <c r="I71" s="325">
        <v>0.3</v>
      </c>
      <c r="J71" s="324" t="s">
        <v>517</v>
      </c>
      <c r="K71" s="328"/>
      <c r="L71" s="324"/>
      <c r="M71" s="328" t="s">
        <v>406</v>
      </c>
      <c r="N71" s="324" t="s">
        <v>518</v>
      </c>
      <c r="O71" s="325"/>
      <c r="P71" s="325"/>
      <c r="Q71" s="327"/>
      <c r="R71" s="324"/>
      <c r="S71" s="228"/>
      <c r="T71" s="228">
        <v>7257835.7999999998</v>
      </c>
      <c r="U71" s="325" t="s">
        <v>519</v>
      </c>
      <c r="V71" s="325"/>
      <c r="W71" s="324">
        <v>43466</v>
      </c>
      <c r="X71" s="325" t="s">
        <v>248</v>
      </c>
      <c r="Y71" s="329" t="s">
        <v>158</v>
      </c>
      <c r="Z71" s="329"/>
      <c r="AA71" s="330"/>
      <c r="AB71" s="330"/>
      <c r="AC71" s="331"/>
      <c r="AD71" s="330"/>
      <c r="AE71" s="332"/>
      <c r="AF71" s="220"/>
    </row>
    <row r="72" spans="1:43" s="298" customFormat="1" ht="36" hidden="1" customHeight="1" x14ac:dyDescent="0.2">
      <c r="A72" s="321"/>
      <c r="B72" s="322">
        <v>5</v>
      </c>
      <c r="C72" s="323"/>
      <c r="D72" s="324">
        <v>23000</v>
      </c>
      <c r="E72" s="325"/>
      <c r="F72" s="326" t="s">
        <v>520</v>
      </c>
      <c r="G72" s="327">
        <v>3</v>
      </c>
      <c r="H72" s="324">
        <v>42917</v>
      </c>
      <c r="I72" s="325"/>
      <c r="J72" s="324"/>
      <c r="K72" s="328"/>
      <c r="L72" s="324"/>
      <c r="M72" s="328"/>
      <c r="N72" s="324"/>
      <c r="O72" s="325"/>
      <c r="P72" s="325"/>
      <c r="Q72" s="327" t="s">
        <v>521</v>
      </c>
      <c r="R72" s="324" t="s">
        <v>522</v>
      </c>
      <c r="S72" s="228"/>
      <c r="T72" s="228">
        <v>3359580</v>
      </c>
      <c r="U72" s="325" t="s">
        <v>523</v>
      </c>
      <c r="V72" s="325"/>
      <c r="W72" s="324">
        <v>43466</v>
      </c>
      <c r="X72" s="325" t="s">
        <v>524</v>
      </c>
      <c r="Y72" s="329" t="s">
        <v>158</v>
      </c>
      <c r="Z72" s="329"/>
      <c r="AA72" s="330"/>
      <c r="AB72" s="330"/>
      <c r="AC72" s="331"/>
      <c r="AD72" s="330"/>
      <c r="AE72" s="332"/>
      <c r="AF72" s="220"/>
    </row>
    <row r="73" spans="1:43" s="298" customFormat="1" ht="36" hidden="1" customHeight="1" x14ac:dyDescent="0.2">
      <c r="A73" s="321"/>
      <c r="B73" s="338">
        <v>6</v>
      </c>
      <c r="C73" s="339"/>
      <c r="D73" s="340">
        <v>24944</v>
      </c>
      <c r="E73" s="341"/>
      <c r="F73" s="342" t="s">
        <v>525</v>
      </c>
      <c r="G73" s="343" t="s">
        <v>526</v>
      </c>
      <c r="H73" s="340">
        <v>43101</v>
      </c>
      <c r="I73" s="341"/>
      <c r="J73" s="340"/>
      <c r="K73" s="344"/>
      <c r="L73" s="340"/>
      <c r="M73" s="344" t="s">
        <v>436</v>
      </c>
      <c r="N73" s="340" t="s">
        <v>518</v>
      </c>
      <c r="O73" s="341"/>
      <c r="P73" s="341"/>
      <c r="Q73" s="343"/>
      <c r="R73" s="340"/>
      <c r="S73" s="345"/>
      <c r="T73" s="228">
        <v>4665949.2</v>
      </c>
      <c r="U73" s="325" t="s">
        <v>527</v>
      </c>
      <c r="V73" s="325"/>
      <c r="W73" s="324">
        <v>43466</v>
      </c>
      <c r="X73" s="325" t="s">
        <v>528</v>
      </c>
      <c r="Y73" s="346" t="s">
        <v>158</v>
      </c>
      <c r="Z73" s="346"/>
      <c r="AA73" s="347"/>
      <c r="AB73" s="347"/>
      <c r="AC73" s="348"/>
      <c r="AD73" s="347"/>
      <c r="AE73" s="332"/>
      <c r="AF73" s="349"/>
    </row>
    <row r="74" spans="1:43" ht="35.25" customHeight="1" thickBot="1" x14ac:dyDescent="0.3">
      <c r="B74" s="350"/>
      <c r="C74" s="351" t="s">
        <v>38</v>
      </c>
      <c r="D74" s="351" t="str">
        <f>COUNTA(D19:D54)&amp;" HỒ SƠ"</f>
        <v>35 HỒ SƠ</v>
      </c>
      <c r="E74" s="352"/>
      <c r="F74" s="352"/>
      <c r="G74" s="352"/>
      <c r="H74" s="352"/>
      <c r="I74" s="352"/>
      <c r="J74" s="352"/>
      <c r="K74" s="352"/>
      <c r="L74" s="352"/>
      <c r="M74" s="352"/>
      <c r="N74" s="352"/>
      <c r="O74" s="352"/>
      <c r="P74" s="352"/>
      <c r="Q74" s="352"/>
      <c r="R74" s="352"/>
      <c r="S74" s="353"/>
      <c r="T74" s="354"/>
      <c r="U74" s="352"/>
      <c r="V74" s="352"/>
      <c r="W74" s="355"/>
      <c r="X74" s="352"/>
      <c r="Y74" s="356" t="str">
        <f>COUNTA(Y19:Y66) &amp; " hồ sơ"</f>
        <v>42 hồ sơ</v>
      </c>
      <c r="Z74" s="356"/>
      <c r="AA74" s="356" t="str">
        <f>COUNTA(AA19:AA66)&amp;" hồ sơ"</f>
        <v>5 hồ sơ</v>
      </c>
      <c r="AB74" s="352"/>
      <c r="AC74" s="356">
        <f>SUM(AC17,AC67)</f>
        <v>6181494375</v>
      </c>
      <c r="AD74" s="356">
        <f>SUM(AD17,AD67)</f>
        <v>68787471</v>
      </c>
      <c r="AE74" s="356">
        <f>SUM(AE17,AE67)</f>
        <v>6112706904</v>
      </c>
      <c r="AF74" s="357"/>
    </row>
    <row r="75" spans="1:43" ht="35.25" hidden="1" customHeight="1" x14ac:dyDescent="0.25">
      <c r="B75" s="7"/>
    </row>
    <row r="76" spans="1:43" ht="24.75" hidden="1" customHeight="1" x14ac:dyDescent="0.25">
      <c r="B76" s="8"/>
      <c r="C76" s="9"/>
      <c r="Y76" s="630" t="s">
        <v>133</v>
      </c>
      <c r="Z76" s="630"/>
      <c r="AA76" s="630"/>
      <c r="AB76" s="630"/>
      <c r="AC76" s="630"/>
      <c r="AD76" s="630"/>
      <c r="AE76" s="630"/>
      <c r="AF76" s="630"/>
      <c r="AK76" s="64"/>
      <c r="AL76" s="64"/>
      <c r="AM76" s="64"/>
      <c r="AN76" s="64"/>
      <c r="AO76" s="64"/>
      <c r="AP76" s="64"/>
      <c r="AQ76" s="64"/>
    </row>
    <row r="77" spans="1:43" ht="21.75" hidden="1" customHeight="1" x14ac:dyDescent="0.3">
      <c r="B77" s="59" t="s">
        <v>39</v>
      </c>
      <c r="C77" s="10"/>
      <c r="Y77" s="631" t="s">
        <v>131</v>
      </c>
      <c r="Z77" s="631"/>
      <c r="AA77" s="631"/>
      <c r="AB77" s="631"/>
      <c r="AC77" s="631"/>
      <c r="AD77" s="631"/>
      <c r="AE77" s="631"/>
      <c r="AF77" s="631"/>
      <c r="AK77" s="65"/>
      <c r="AL77" s="65"/>
      <c r="AM77" s="65"/>
      <c r="AN77" s="65"/>
      <c r="AO77" s="65"/>
      <c r="AP77" s="65"/>
      <c r="AQ77" s="65"/>
    </row>
    <row r="78" spans="1:43" ht="35.25" hidden="1" customHeight="1" x14ac:dyDescent="0.25">
      <c r="B78" s="60" t="s">
        <v>40</v>
      </c>
      <c r="C78" s="11"/>
    </row>
    <row r="79" spans="1:43" ht="35.25" hidden="1" customHeight="1" x14ac:dyDescent="0.25">
      <c r="B79" s="229" t="s">
        <v>326</v>
      </c>
      <c r="C79" s="12"/>
    </row>
    <row r="80" spans="1:43" ht="35.25" hidden="1" customHeight="1" x14ac:dyDescent="0.25">
      <c r="B80" s="60"/>
      <c r="C80" s="12"/>
    </row>
    <row r="81" spans="2:43" ht="35.25" hidden="1" customHeight="1" x14ac:dyDescent="0.25">
      <c r="B81" s="13"/>
    </row>
    <row r="82" spans="2:43" ht="35.25" hidden="1" customHeight="1" x14ac:dyDescent="0.25">
      <c r="B82" s="7"/>
    </row>
    <row r="83" spans="2:43" ht="18.75" hidden="1" x14ac:dyDescent="0.3">
      <c r="B83" s="13"/>
      <c r="Y83" s="632" t="s">
        <v>132</v>
      </c>
      <c r="Z83" s="632"/>
      <c r="AA83" s="632"/>
      <c r="AB83" s="632"/>
      <c r="AC83" s="632"/>
      <c r="AD83" s="632"/>
      <c r="AE83" s="632"/>
      <c r="AF83" s="632"/>
      <c r="AK83" s="61"/>
      <c r="AL83" s="61"/>
      <c r="AM83" s="61"/>
      <c r="AN83" s="61"/>
      <c r="AO83" s="61"/>
      <c r="AP83" s="61"/>
      <c r="AQ83" s="61"/>
    </row>
    <row r="84" spans="2:43" hidden="1" x14ac:dyDescent="0.25">
      <c r="B84" s="13" t="s">
        <v>42</v>
      </c>
    </row>
    <row r="85" spans="2:43" hidden="1" x14ac:dyDescent="0.25">
      <c r="B85" s="7" t="s">
        <v>82</v>
      </c>
    </row>
    <row r="88" spans="2:43" x14ac:dyDescent="0.25">
      <c r="I88" s="20"/>
      <c r="J88" s="20"/>
      <c r="L88" s="20"/>
    </row>
    <row r="89" spans="2:43" hidden="1" x14ac:dyDescent="0.25">
      <c r="AC89" s="77">
        <v>256021146</v>
      </c>
    </row>
    <row r="90" spans="2:43" hidden="1" x14ac:dyDescent="0.25"/>
    <row r="91" spans="2:43" hidden="1" x14ac:dyDescent="0.25">
      <c r="AC91" s="361">
        <f>AC74-AC89</f>
        <v>5925473229</v>
      </c>
    </row>
    <row r="92" spans="2:43" hidden="1" x14ac:dyDescent="0.25"/>
    <row r="95" spans="2:43" x14ac:dyDescent="0.25">
      <c r="I95" s="20"/>
      <c r="K95" s="21"/>
    </row>
  </sheetData>
  <mergeCells count="40">
    <mergeCell ref="B8:AF8"/>
    <mergeCell ref="B1:E1"/>
    <mergeCell ref="X1:AF1"/>
    <mergeCell ref="B2:E2"/>
    <mergeCell ref="P2:AF2"/>
    <mergeCell ref="B3:E3"/>
    <mergeCell ref="P3:AF3"/>
    <mergeCell ref="B4:E4"/>
    <mergeCell ref="P4:AF4"/>
    <mergeCell ref="B5:E5"/>
    <mergeCell ref="P5:AF5"/>
    <mergeCell ref="B7:AF7"/>
    <mergeCell ref="Q14:R14"/>
    <mergeCell ref="B9:AF9"/>
    <mergeCell ref="B10:AF10"/>
    <mergeCell ref="B11:AF11"/>
    <mergeCell ref="B12:AF12"/>
    <mergeCell ref="B13:AF13"/>
    <mergeCell ref="B14:B15"/>
    <mergeCell ref="C14:C15"/>
    <mergeCell ref="D14:D15"/>
    <mergeCell ref="E14:E15"/>
    <mergeCell ref="F14:F15"/>
    <mergeCell ref="G14:H14"/>
    <mergeCell ref="I14:J14"/>
    <mergeCell ref="K14:L14"/>
    <mergeCell ref="M14:N14"/>
    <mergeCell ref="O14:P14"/>
    <mergeCell ref="S14:S15"/>
    <mergeCell ref="T14:T15"/>
    <mergeCell ref="U14:V14"/>
    <mergeCell ref="W14:W15"/>
    <mergeCell ref="X14:X15"/>
    <mergeCell ref="AC14:AE14"/>
    <mergeCell ref="AF14:AF15"/>
    <mergeCell ref="Y76:AF76"/>
    <mergeCell ref="Y77:AF77"/>
    <mergeCell ref="Y83:AF83"/>
    <mergeCell ref="AC22:AE22"/>
    <mergeCell ref="Y14:AB14"/>
  </mergeCells>
  <pageMargins left="0.19685039370078741" right="0.19685039370078741" top="0.19685039370078741" bottom="0.19685039370078741" header="0.19685039370078741" footer="0.19685039370078741"/>
  <pageSetup paperSize="9" scale="85" orientation="landscape" r:id="rId1"/>
  <headerFoot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D4118-379C-4C15-9169-A0EB12C1A295}">
  <dimension ref="A1:AI12"/>
  <sheetViews>
    <sheetView tabSelected="1" topLeftCell="N8" zoomScale="82" zoomScaleNormal="82" workbookViewId="0">
      <selection activeCell="AB14" sqref="AB14"/>
    </sheetView>
  </sheetViews>
  <sheetFormatPr defaultRowHeight="16.5" x14ac:dyDescent="0.25"/>
  <cols>
    <col min="1" max="1" width="5.28515625" style="572" customWidth="1"/>
    <col min="2" max="2" width="24.28515625" style="572" customWidth="1"/>
    <col min="3" max="3" width="13.5703125" style="574" customWidth="1"/>
    <col min="4" max="4" width="6.85546875" style="572" customWidth="1"/>
    <col min="5" max="5" width="7.85546875" style="572" customWidth="1"/>
    <col min="6" max="6" width="14.7109375" style="572" customWidth="1"/>
    <col min="7" max="7" width="7.42578125" style="572" customWidth="1"/>
    <col min="8" max="8" width="6.7109375" style="572" customWidth="1"/>
    <col min="9" max="9" width="8.42578125" style="572" customWidth="1"/>
    <col min="10" max="10" width="7.5703125" style="572" customWidth="1"/>
    <col min="11" max="11" width="7.42578125" style="572" customWidth="1"/>
    <col min="12" max="12" width="8.42578125" style="572" customWidth="1"/>
    <col min="13" max="13" width="6.5703125" style="572" customWidth="1"/>
    <col min="14" max="14" width="10.85546875" style="572" customWidth="1"/>
    <col min="15" max="15" width="8.140625" style="572" customWidth="1"/>
    <col min="16" max="16" width="9.28515625" style="572" customWidth="1"/>
    <col min="17" max="17" width="11" style="573" customWidth="1"/>
    <col min="18" max="18" width="12.28515625" style="573" customWidth="1"/>
    <col min="19" max="19" width="10.85546875" style="573" customWidth="1"/>
    <col min="20" max="20" width="12.42578125" style="574" customWidth="1"/>
    <col min="21" max="21" width="12.5703125" style="574" customWidth="1"/>
    <col min="22" max="22" width="6.5703125" style="574" customWidth="1"/>
    <col min="23" max="23" width="7.85546875" style="574" customWidth="1"/>
    <col min="24" max="24" width="7.7109375" style="572" customWidth="1"/>
    <col min="25" max="25" width="6.7109375" style="572" customWidth="1"/>
    <col min="26" max="26" width="16.7109375" style="572" customWidth="1"/>
    <col min="27" max="27" width="9" style="572" customWidth="1"/>
    <col min="28" max="30" width="15.140625" style="572" customWidth="1"/>
    <col min="31" max="31" width="6.28515625" style="572" customWidth="1"/>
    <col min="32" max="32" width="8.7109375" style="572" customWidth="1"/>
    <col min="33" max="33" width="8.5703125" style="572" customWidth="1"/>
    <col min="34" max="34" width="6.7109375" style="572" customWidth="1"/>
    <col min="35" max="35" width="7.5703125" style="572" customWidth="1"/>
    <col min="36" max="16384" width="9.140625" style="572"/>
  </cols>
  <sheetData>
    <row r="1" spans="1:35" ht="42" customHeight="1" x14ac:dyDescent="0.25">
      <c r="A1" s="616" t="s">
        <v>780</v>
      </c>
      <c r="B1" s="617"/>
      <c r="C1" s="617"/>
      <c r="D1" s="617"/>
    </row>
    <row r="3" spans="1:35" ht="25.5" customHeight="1" x14ac:dyDescent="0.25">
      <c r="A3" s="621" t="s">
        <v>783</v>
      </c>
      <c r="B3" s="621"/>
      <c r="C3" s="621"/>
      <c r="D3" s="621"/>
      <c r="E3" s="621"/>
      <c r="F3" s="621"/>
      <c r="G3" s="621"/>
      <c r="H3" s="621"/>
      <c r="I3" s="621"/>
      <c r="J3" s="621"/>
      <c r="K3" s="621"/>
      <c r="L3" s="621"/>
      <c r="M3" s="621"/>
      <c r="N3" s="621"/>
      <c r="O3" s="621"/>
      <c r="P3" s="621"/>
      <c r="Q3" s="621"/>
      <c r="R3" s="621"/>
      <c r="S3" s="621"/>
      <c r="T3" s="621"/>
      <c r="U3" s="621"/>
      <c r="V3" s="621"/>
      <c r="W3" s="621"/>
      <c r="X3" s="621"/>
      <c r="Y3" s="621"/>
      <c r="Z3" s="621"/>
      <c r="AA3" s="621"/>
      <c r="AB3" s="621"/>
      <c r="AC3" s="621"/>
      <c r="AD3" s="621"/>
      <c r="AE3" s="621"/>
      <c r="AF3" s="621"/>
      <c r="AG3" s="621"/>
      <c r="AH3" s="621"/>
      <c r="AI3" s="621"/>
    </row>
    <row r="4" spans="1:35" ht="22.5" customHeight="1" x14ac:dyDescent="0.3">
      <c r="A4" s="622" t="s">
        <v>784</v>
      </c>
      <c r="B4" s="622"/>
      <c r="C4" s="622"/>
      <c r="D4" s="622"/>
      <c r="E4" s="622"/>
      <c r="F4" s="622"/>
      <c r="G4" s="622"/>
      <c r="H4" s="622"/>
      <c r="I4" s="622"/>
      <c r="J4" s="622"/>
      <c r="K4" s="622"/>
      <c r="L4" s="622"/>
      <c r="M4" s="622"/>
      <c r="N4" s="622"/>
      <c r="O4" s="622"/>
      <c r="P4" s="622"/>
      <c r="Q4" s="622"/>
      <c r="R4" s="622"/>
      <c r="S4" s="622"/>
      <c r="T4" s="622"/>
      <c r="U4" s="622"/>
      <c r="V4" s="622"/>
      <c r="W4" s="622"/>
      <c r="X4" s="622"/>
      <c r="Y4" s="622"/>
      <c r="Z4" s="622"/>
      <c r="AA4" s="622"/>
      <c r="AB4" s="622"/>
      <c r="AC4" s="622"/>
      <c r="AD4" s="622"/>
      <c r="AE4" s="622"/>
      <c r="AF4" s="622"/>
      <c r="AG4" s="622"/>
      <c r="AH4" s="622"/>
      <c r="AI4" s="622"/>
    </row>
    <row r="6" spans="1:35" ht="60" customHeight="1" x14ac:dyDescent="0.25">
      <c r="A6" s="610" t="s">
        <v>758</v>
      </c>
      <c r="B6" s="610" t="s">
        <v>4</v>
      </c>
      <c r="C6" s="611" t="s">
        <v>5</v>
      </c>
      <c r="D6" s="623" t="s">
        <v>757</v>
      </c>
      <c r="E6" s="610" t="s">
        <v>6</v>
      </c>
      <c r="F6" s="610" t="s">
        <v>7</v>
      </c>
      <c r="G6" s="618" t="s">
        <v>759</v>
      </c>
      <c r="H6" s="619"/>
      <c r="I6" s="619"/>
      <c r="J6" s="619"/>
      <c r="K6" s="619"/>
      <c r="L6" s="619"/>
      <c r="M6" s="619"/>
      <c r="N6" s="619"/>
      <c r="O6" s="620"/>
      <c r="P6" s="610" t="s">
        <v>760</v>
      </c>
      <c r="Q6" s="610" t="s">
        <v>14</v>
      </c>
      <c r="R6" s="610"/>
      <c r="S6" s="610" t="s">
        <v>761</v>
      </c>
      <c r="T6" s="611" t="s">
        <v>762</v>
      </c>
      <c r="U6" s="612" t="s">
        <v>763</v>
      </c>
      <c r="V6" s="614" t="s">
        <v>764</v>
      </c>
      <c r="W6" s="615"/>
      <c r="X6" s="610" t="s">
        <v>76</v>
      </c>
      <c r="Y6" s="610"/>
      <c r="Z6" s="610" t="s">
        <v>77</v>
      </c>
      <c r="AA6" s="618" t="s">
        <v>78</v>
      </c>
      <c r="AB6" s="619"/>
      <c r="AC6" s="619"/>
      <c r="AD6" s="620"/>
      <c r="AE6" s="618" t="s">
        <v>80</v>
      </c>
      <c r="AF6" s="619"/>
      <c r="AG6" s="620"/>
      <c r="AH6" s="610" t="s">
        <v>765</v>
      </c>
      <c r="AI6" s="610"/>
    </row>
    <row r="7" spans="1:35" ht="172.5" customHeight="1" x14ac:dyDescent="0.25">
      <c r="A7" s="610"/>
      <c r="B7" s="610"/>
      <c r="C7" s="611"/>
      <c r="D7" s="624"/>
      <c r="E7" s="610"/>
      <c r="F7" s="610"/>
      <c r="G7" s="575" t="s">
        <v>18</v>
      </c>
      <c r="H7" s="575" t="s">
        <v>766</v>
      </c>
      <c r="I7" s="575" t="s">
        <v>11</v>
      </c>
      <c r="J7" s="575" t="s">
        <v>10</v>
      </c>
      <c r="K7" s="575" t="s">
        <v>767</v>
      </c>
      <c r="L7" s="575" t="s">
        <v>768</v>
      </c>
      <c r="M7" s="575" t="s">
        <v>769</v>
      </c>
      <c r="N7" s="575" t="s">
        <v>770</v>
      </c>
      <c r="O7" s="575" t="s">
        <v>12</v>
      </c>
      <c r="P7" s="610"/>
      <c r="Q7" s="575" t="s">
        <v>22</v>
      </c>
      <c r="R7" s="575" t="s">
        <v>781</v>
      </c>
      <c r="S7" s="610"/>
      <c r="T7" s="611"/>
      <c r="U7" s="613"/>
      <c r="V7" s="576" t="s">
        <v>138</v>
      </c>
      <c r="W7" s="576" t="s">
        <v>139</v>
      </c>
      <c r="X7" s="575" t="s">
        <v>78</v>
      </c>
      <c r="Y7" s="575" t="s">
        <v>80</v>
      </c>
      <c r="Z7" s="610"/>
      <c r="AA7" s="575" t="s">
        <v>777</v>
      </c>
      <c r="AB7" s="575" t="s">
        <v>776</v>
      </c>
      <c r="AC7" s="575" t="s">
        <v>775</v>
      </c>
      <c r="AD7" s="575" t="s">
        <v>774</v>
      </c>
      <c r="AE7" s="575" t="s">
        <v>778</v>
      </c>
      <c r="AF7" s="575" t="s">
        <v>779</v>
      </c>
      <c r="AG7" s="575" t="s">
        <v>773</v>
      </c>
      <c r="AH7" s="575" t="s">
        <v>771</v>
      </c>
      <c r="AI7" s="575" t="s">
        <v>772</v>
      </c>
    </row>
    <row r="8" spans="1:35" s="573" customFormat="1" ht="21" customHeight="1" x14ac:dyDescent="0.25">
      <c r="A8" s="577">
        <v>1</v>
      </c>
      <c r="B8" s="577">
        <v>2</v>
      </c>
      <c r="C8" s="577">
        <v>3</v>
      </c>
      <c r="D8" s="577">
        <v>4</v>
      </c>
      <c r="E8" s="577">
        <v>5</v>
      </c>
      <c r="F8" s="577">
        <v>6</v>
      </c>
      <c r="G8" s="577">
        <v>7</v>
      </c>
      <c r="H8" s="577">
        <v>8</v>
      </c>
      <c r="I8" s="577">
        <v>9</v>
      </c>
      <c r="J8" s="577">
        <v>10</v>
      </c>
      <c r="K8" s="577">
        <v>11</v>
      </c>
      <c r="L8" s="577">
        <v>12</v>
      </c>
      <c r="M8" s="577">
        <v>13</v>
      </c>
      <c r="N8" s="577">
        <v>14</v>
      </c>
      <c r="O8" s="577">
        <v>15</v>
      </c>
      <c r="P8" s="577">
        <v>16</v>
      </c>
      <c r="Q8" s="577">
        <v>17</v>
      </c>
      <c r="R8" s="577">
        <v>18</v>
      </c>
      <c r="S8" s="577">
        <v>19</v>
      </c>
      <c r="T8" s="577">
        <v>20</v>
      </c>
      <c r="U8" s="577"/>
      <c r="V8" s="577"/>
      <c r="W8" s="577"/>
      <c r="X8" s="577">
        <v>21</v>
      </c>
      <c r="Y8" s="577">
        <v>22</v>
      </c>
      <c r="Z8" s="577">
        <v>23</v>
      </c>
      <c r="AA8" s="577">
        <v>24</v>
      </c>
      <c r="AB8" s="577">
        <v>25</v>
      </c>
      <c r="AC8" s="577">
        <v>26</v>
      </c>
      <c r="AD8" s="577">
        <v>27</v>
      </c>
      <c r="AE8" s="577">
        <v>28</v>
      </c>
      <c r="AF8" s="577">
        <v>29</v>
      </c>
      <c r="AG8" s="577">
        <v>30</v>
      </c>
      <c r="AH8" s="577">
        <v>32</v>
      </c>
      <c r="AI8" s="577">
        <v>33</v>
      </c>
    </row>
    <row r="9" spans="1:35" s="582" customFormat="1" ht="25.5" customHeight="1" x14ac:dyDescent="0.25">
      <c r="A9" s="575" t="s">
        <v>141</v>
      </c>
      <c r="B9" s="608" t="s">
        <v>30</v>
      </c>
      <c r="C9" s="609"/>
      <c r="D9" s="575"/>
      <c r="E9" s="575"/>
      <c r="F9" s="575"/>
      <c r="G9" s="575"/>
      <c r="H9" s="575"/>
      <c r="I9" s="575"/>
      <c r="J9" s="575"/>
      <c r="K9" s="575"/>
      <c r="L9" s="575"/>
      <c r="M9" s="578"/>
      <c r="N9" s="575"/>
      <c r="O9" s="575"/>
      <c r="P9" s="579"/>
      <c r="Q9" s="575"/>
      <c r="R9" s="575"/>
      <c r="S9" s="575"/>
      <c r="T9" s="580"/>
      <c r="U9" s="580"/>
      <c r="V9" s="580"/>
      <c r="W9" s="580"/>
      <c r="X9" s="575"/>
      <c r="Y9" s="575"/>
      <c r="Z9" s="581"/>
      <c r="AA9" s="581"/>
      <c r="AB9" s="581"/>
      <c r="AC9" s="581"/>
      <c r="AD9" s="581"/>
      <c r="AE9" s="575"/>
      <c r="AF9" s="575"/>
      <c r="AG9" s="575"/>
      <c r="AH9" s="575"/>
      <c r="AI9" s="581"/>
    </row>
    <row r="10" spans="1:35" s="582" customFormat="1" ht="25.5" customHeight="1" x14ac:dyDescent="0.25">
      <c r="A10" s="575" t="s">
        <v>155</v>
      </c>
      <c r="B10" s="608" t="s">
        <v>33</v>
      </c>
      <c r="C10" s="609"/>
      <c r="D10" s="575"/>
      <c r="E10" s="575"/>
      <c r="F10" s="575"/>
      <c r="G10" s="575"/>
      <c r="H10" s="575"/>
      <c r="I10" s="575"/>
      <c r="J10" s="575"/>
      <c r="K10" s="575"/>
      <c r="L10" s="575"/>
      <c r="M10" s="578"/>
      <c r="N10" s="575"/>
      <c r="O10" s="575"/>
      <c r="P10" s="579"/>
      <c r="Q10" s="575"/>
      <c r="R10" s="575"/>
      <c r="S10" s="575"/>
      <c r="T10" s="580"/>
      <c r="U10" s="580"/>
      <c r="V10" s="580"/>
      <c r="W10" s="580"/>
      <c r="X10" s="575"/>
      <c r="Y10" s="575"/>
      <c r="Z10" s="579">
        <f>SUM(Z11:Z12)</f>
        <v>1091843529.9749999</v>
      </c>
      <c r="AA10" s="579"/>
      <c r="AB10" s="579">
        <f>SUM(AB11:AB12)</f>
        <v>708354017.25</v>
      </c>
      <c r="AC10" s="579">
        <f>SUM(AC11:AC12)</f>
        <v>166091590.5</v>
      </c>
      <c r="AD10" s="579">
        <f>SUM(AD11:AD12)</f>
        <v>217397922.22500002</v>
      </c>
      <c r="AE10" s="575"/>
      <c r="AF10" s="575"/>
      <c r="AG10" s="575"/>
      <c r="AH10" s="575"/>
      <c r="AI10" s="581"/>
    </row>
    <row r="11" spans="1:35" ht="77.25" customHeight="1" x14ac:dyDescent="0.25">
      <c r="A11" s="583">
        <v>1</v>
      </c>
      <c r="B11" s="603" t="s">
        <v>785</v>
      </c>
      <c r="C11" s="594" t="s">
        <v>792</v>
      </c>
      <c r="D11" s="592" t="s">
        <v>782</v>
      </c>
      <c r="E11" s="592" t="s">
        <v>735</v>
      </c>
      <c r="F11" s="592" t="s">
        <v>790</v>
      </c>
      <c r="G11" s="596">
        <v>4.9800000000000004</v>
      </c>
      <c r="H11" s="597"/>
      <c r="I11" s="588" t="s">
        <v>786</v>
      </c>
      <c r="J11" s="589">
        <v>0.33</v>
      </c>
      <c r="K11" s="598"/>
      <c r="L11" s="592"/>
      <c r="M11" s="592"/>
      <c r="N11" s="592"/>
      <c r="O11" s="592"/>
      <c r="P11" s="599">
        <f>(G11+H11+(G11*I11)+((G11+H11+(G11*I11))*J11)+(((G11+H11+(G11*I11))*K11)))*2530</f>
        <v>17595.062099999999</v>
      </c>
      <c r="Q11" s="592" t="s">
        <v>793</v>
      </c>
      <c r="R11" s="592"/>
      <c r="S11" s="592" t="s">
        <v>791</v>
      </c>
      <c r="T11" s="600" t="s">
        <v>787</v>
      </c>
      <c r="U11" s="600" t="s">
        <v>800</v>
      </c>
      <c r="V11" s="594" t="s">
        <v>788</v>
      </c>
      <c r="W11" s="594" t="s">
        <v>789</v>
      </c>
      <c r="X11" s="592" t="s">
        <v>158</v>
      </c>
      <c r="Y11" s="592"/>
      <c r="Z11" s="601">
        <f>SUM(AA11:AG11)</f>
        <v>611428407.97500002</v>
      </c>
      <c r="AA11" s="601"/>
      <c r="AB11" s="601">
        <f>P11*5*4.5*1000</f>
        <v>395888897.25</v>
      </c>
      <c r="AC11" s="601">
        <f>P11*5*1000</f>
        <v>87975310.499999985</v>
      </c>
      <c r="AD11" s="601">
        <f>P11*0.5*14.5*1000</f>
        <v>127564200.22499999</v>
      </c>
      <c r="AE11" s="602"/>
      <c r="AF11" s="602"/>
      <c r="AG11" s="592"/>
      <c r="AH11" s="592"/>
      <c r="AI11" s="602" t="s">
        <v>158</v>
      </c>
    </row>
    <row r="12" spans="1:35" s="593" customFormat="1" ht="77.25" customHeight="1" x14ac:dyDescent="0.25">
      <c r="A12" s="592">
        <v>2</v>
      </c>
      <c r="B12" s="584" t="s">
        <v>794</v>
      </c>
      <c r="C12" s="607" t="s">
        <v>799</v>
      </c>
      <c r="D12" s="583" t="s">
        <v>782</v>
      </c>
      <c r="E12" s="583" t="s">
        <v>735</v>
      </c>
      <c r="F12" s="583" t="s">
        <v>801</v>
      </c>
      <c r="G12" s="604">
        <v>4.9800000000000004</v>
      </c>
      <c r="H12" s="587"/>
      <c r="I12" s="588"/>
      <c r="J12" s="589">
        <v>0.24</v>
      </c>
      <c r="K12" s="595"/>
      <c r="L12" s="583"/>
      <c r="M12" s="583"/>
      <c r="N12" s="583"/>
      <c r="O12" s="583"/>
      <c r="P12" s="599">
        <f>(G12+H12+(G12*I12)+((G12+H12+(G12*I12))*J12)+(((G12+H12+(G12*I12))*K12)))*2530</f>
        <v>15623.256000000001</v>
      </c>
      <c r="Q12" s="583" t="s">
        <v>795</v>
      </c>
      <c r="R12" s="583"/>
      <c r="S12" s="583" t="s">
        <v>796</v>
      </c>
      <c r="T12" s="585" t="s">
        <v>787</v>
      </c>
      <c r="U12" s="585" t="s">
        <v>797</v>
      </c>
      <c r="V12" s="605">
        <v>3</v>
      </c>
      <c r="W12" s="606" t="s">
        <v>798</v>
      </c>
      <c r="X12" s="583" t="s">
        <v>158</v>
      </c>
      <c r="Y12" s="583"/>
      <c r="Z12" s="591">
        <f>SUM(AA12:AG12)</f>
        <v>480415122</v>
      </c>
      <c r="AA12" s="590"/>
      <c r="AB12" s="590">
        <f>P12*5*4*1000</f>
        <v>312465120</v>
      </c>
      <c r="AC12" s="590">
        <f>P12*5*1000</f>
        <v>78116280</v>
      </c>
      <c r="AD12" s="590">
        <f>P12*0.5*11.5*1000</f>
        <v>89833722.000000015</v>
      </c>
      <c r="AE12" s="586"/>
      <c r="AF12" s="586"/>
      <c r="AG12" s="583"/>
      <c r="AH12" s="583"/>
      <c r="AI12" s="586" t="s">
        <v>158</v>
      </c>
    </row>
  </sheetData>
  <mergeCells count="23">
    <mergeCell ref="A1:D1"/>
    <mergeCell ref="E6:E7"/>
    <mergeCell ref="F6:F7"/>
    <mergeCell ref="G6:O6"/>
    <mergeCell ref="AA6:AD6"/>
    <mergeCell ref="A3:AI3"/>
    <mergeCell ref="AE6:AG6"/>
    <mergeCell ref="AH6:AI6"/>
    <mergeCell ref="X6:Y6"/>
    <mergeCell ref="Z6:Z7"/>
    <mergeCell ref="A4:AI4"/>
    <mergeCell ref="A6:A7"/>
    <mergeCell ref="B6:B7"/>
    <mergeCell ref="C6:C7"/>
    <mergeCell ref="D6:D7"/>
    <mergeCell ref="B10:C10"/>
    <mergeCell ref="S6:S7"/>
    <mergeCell ref="T6:T7"/>
    <mergeCell ref="U6:U7"/>
    <mergeCell ref="V6:W6"/>
    <mergeCell ref="P6:P7"/>
    <mergeCell ref="Q6:R6"/>
    <mergeCell ref="B9:C9"/>
  </mergeCells>
  <phoneticPr fontId="90" type="noConversion"/>
  <pageMargins left="0.35" right="0" top="0.75" bottom="0" header="0" footer="0"/>
  <pageSetup paperSize="9" scale="40"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58"/>
  <sheetViews>
    <sheetView topLeftCell="K7" zoomScale="142" zoomScaleNormal="142" workbookViewId="0">
      <selection activeCell="AC27" sqref="AC27"/>
    </sheetView>
  </sheetViews>
  <sheetFormatPr defaultRowHeight="15" x14ac:dyDescent="0.25"/>
  <cols>
    <col min="1" max="1" width="2.7109375" style="117" customWidth="1"/>
    <col min="2" max="2" width="11.7109375" style="117" customWidth="1"/>
    <col min="3" max="3" width="6.85546875" style="117" customWidth="1"/>
    <col min="4" max="4" width="4.28515625" style="117" customWidth="1"/>
    <col min="5" max="5" width="15.42578125" style="210" customWidth="1"/>
    <col min="6" max="6" width="3.5703125" style="117" customWidth="1"/>
    <col min="7" max="7" width="6.5703125" style="117" customWidth="1"/>
    <col min="8" max="8" width="3.7109375" style="117" customWidth="1"/>
    <col min="9" max="9" width="6.7109375" style="117" customWidth="1"/>
    <col min="10" max="10" width="3.28515625" style="117" customWidth="1"/>
    <col min="11" max="11" width="7.140625" style="117" customWidth="1"/>
    <col min="12" max="12" width="3.28515625" style="117" customWidth="1"/>
    <col min="13" max="13" width="7.5703125" style="117" customWidth="1"/>
    <col min="14" max="14" width="3.140625" style="117" customWidth="1"/>
    <col min="15" max="15" width="4.7109375" style="117" customWidth="1"/>
    <col min="16" max="16" width="3.5703125" style="117" customWidth="1"/>
    <col min="17" max="17" width="6.85546875" style="117" customWidth="1"/>
    <col min="18" max="18" width="8.140625" style="117" customWidth="1"/>
    <col min="19" max="19" width="5.140625" style="117" customWidth="1"/>
    <col min="20" max="20" width="7.5703125" style="117" customWidth="1"/>
    <col min="21" max="21" width="8" style="117" customWidth="1"/>
    <col min="22" max="22" width="5.140625" style="117" customWidth="1"/>
    <col min="23" max="23" width="12" style="187" customWidth="1"/>
    <col min="24" max="24" width="9.42578125" style="117" customWidth="1"/>
    <col min="25" max="26" width="8.140625" style="117" customWidth="1"/>
    <col min="27" max="27" width="21.7109375" style="117" customWidth="1"/>
  </cols>
  <sheetData>
    <row r="1" spans="1:27" ht="12" customHeight="1" x14ac:dyDescent="0.25">
      <c r="A1" s="666"/>
      <c r="B1" s="666"/>
      <c r="C1" s="666"/>
      <c r="D1" s="78"/>
      <c r="E1" s="78"/>
      <c r="F1" s="78"/>
      <c r="G1" s="78"/>
      <c r="H1" s="78"/>
      <c r="I1" s="78"/>
      <c r="J1" s="78"/>
      <c r="K1" s="78"/>
      <c r="L1" s="78"/>
      <c r="M1" s="78"/>
      <c r="N1" s="78"/>
      <c r="O1" s="78"/>
      <c r="P1" s="78"/>
      <c r="Q1" s="78"/>
      <c r="R1" s="78"/>
      <c r="S1" s="78"/>
      <c r="T1" s="78"/>
      <c r="U1" s="78"/>
      <c r="V1" s="78"/>
      <c r="W1" s="667" t="s">
        <v>237</v>
      </c>
      <c r="X1" s="667"/>
      <c r="Y1" s="667"/>
      <c r="Z1" s="667"/>
      <c r="AA1" s="667"/>
    </row>
    <row r="2" spans="1:27" ht="12" customHeight="1" x14ac:dyDescent="0.25">
      <c r="A2" s="666" t="s">
        <v>328</v>
      </c>
      <c r="B2" s="666"/>
      <c r="C2" s="666"/>
      <c r="D2" s="666"/>
      <c r="E2" s="78"/>
      <c r="F2" s="78"/>
      <c r="G2" s="78"/>
      <c r="H2" s="78"/>
      <c r="I2" s="78"/>
      <c r="J2" s="78"/>
      <c r="K2" s="78"/>
      <c r="L2" s="78"/>
      <c r="M2" s="78"/>
      <c r="N2" s="78"/>
      <c r="O2" s="78"/>
      <c r="P2" s="78"/>
      <c r="Q2" s="78"/>
      <c r="R2" s="78"/>
      <c r="S2" s="78"/>
      <c r="T2" s="78"/>
      <c r="U2" s="78"/>
      <c r="V2" s="78"/>
      <c r="W2" s="257"/>
      <c r="X2" s="666" t="s">
        <v>383</v>
      </c>
      <c r="Y2" s="666"/>
      <c r="Z2" s="666"/>
      <c r="AA2" s="666"/>
    </row>
    <row r="3" spans="1:27" ht="12" customHeight="1" x14ac:dyDescent="0.25">
      <c r="A3" s="670" t="s">
        <v>135</v>
      </c>
      <c r="B3" s="670"/>
      <c r="C3" s="670"/>
      <c r="D3" s="670"/>
      <c r="E3" s="78"/>
      <c r="F3" s="78"/>
      <c r="G3" s="78"/>
      <c r="H3" s="78"/>
      <c r="I3" s="78"/>
      <c r="J3" s="78"/>
      <c r="K3" s="78"/>
      <c r="L3" s="78"/>
      <c r="M3" s="78"/>
      <c r="N3" s="78"/>
      <c r="O3" s="78"/>
      <c r="P3" s="78"/>
      <c r="Q3" s="78"/>
      <c r="R3" s="78"/>
      <c r="S3" s="78"/>
      <c r="T3" s="78"/>
      <c r="U3" s="78"/>
      <c r="V3" s="78"/>
      <c r="W3" s="260"/>
      <c r="X3" s="670" t="s">
        <v>384</v>
      </c>
      <c r="Y3" s="670"/>
      <c r="Z3" s="670"/>
      <c r="AA3" s="670"/>
    </row>
    <row r="4" spans="1:27" s="125" customFormat="1" ht="12.75" x14ac:dyDescent="0.2">
      <c r="A4" s="668" t="s">
        <v>234</v>
      </c>
      <c r="B4" s="668"/>
      <c r="C4" s="668"/>
      <c r="D4" s="668"/>
      <c r="E4" s="668"/>
      <c r="F4" s="668"/>
      <c r="G4" s="668"/>
      <c r="H4" s="668"/>
      <c r="I4" s="668"/>
      <c r="J4" s="668"/>
      <c r="K4" s="668"/>
      <c r="L4" s="668"/>
      <c r="M4" s="668"/>
      <c r="N4" s="668"/>
      <c r="O4" s="668"/>
      <c r="P4" s="668"/>
      <c r="Q4" s="668"/>
      <c r="R4" s="668"/>
      <c r="S4" s="668"/>
      <c r="T4" s="668"/>
      <c r="U4" s="668"/>
      <c r="V4" s="668"/>
      <c r="W4" s="668"/>
      <c r="X4" s="668"/>
      <c r="Y4" s="668"/>
      <c r="Z4" s="668"/>
      <c r="AA4" s="668"/>
    </row>
    <row r="5" spans="1:27" s="125" customFormat="1" ht="15.75" customHeight="1" x14ac:dyDescent="0.2">
      <c r="A5" s="669" t="s">
        <v>235</v>
      </c>
      <c r="B5" s="669"/>
      <c r="C5" s="669"/>
      <c r="D5" s="669"/>
      <c r="E5" s="669"/>
      <c r="F5" s="669"/>
      <c r="G5" s="669"/>
      <c r="H5" s="669"/>
      <c r="I5" s="669"/>
      <c r="J5" s="669"/>
      <c r="K5" s="669"/>
      <c r="L5" s="669"/>
      <c r="M5" s="669"/>
      <c r="N5" s="669"/>
      <c r="O5" s="669"/>
      <c r="P5" s="669"/>
      <c r="Q5" s="669"/>
      <c r="R5" s="669"/>
      <c r="S5" s="669"/>
      <c r="T5" s="669"/>
      <c r="U5" s="669"/>
      <c r="V5" s="669"/>
      <c r="W5" s="669"/>
      <c r="X5" s="669"/>
      <c r="Y5" s="669"/>
      <c r="Z5" s="669"/>
      <c r="AA5" s="669"/>
    </row>
    <row r="6" spans="1:27" s="125" customFormat="1" ht="15.75" customHeight="1" thickBot="1" x14ac:dyDescent="0.25">
      <c r="A6" s="662" t="s">
        <v>385</v>
      </c>
      <c r="B6" s="662"/>
      <c r="C6" s="662"/>
      <c r="D6" s="662"/>
      <c r="E6" s="662"/>
      <c r="F6" s="662"/>
      <c r="G6" s="662"/>
      <c r="H6" s="662"/>
      <c r="I6" s="662"/>
      <c r="J6" s="662"/>
      <c r="K6" s="662"/>
      <c r="L6" s="662"/>
      <c r="M6" s="662"/>
      <c r="N6" s="662"/>
      <c r="O6" s="662"/>
      <c r="P6" s="662"/>
      <c r="Q6" s="662"/>
      <c r="R6" s="662"/>
      <c r="S6" s="662"/>
      <c r="T6" s="662"/>
      <c r="U6" s="662"/>
      <c r="V6" s="662"/>
      <c r="W6" s="662"/>
      <c r="X6" s="662"/>
      <c r="Y6" s="662"/>
      <c r="Z6" s="662"/>
      <c r="AA6" s="662"/>
    </row>
    <row r="7" spans="1:27" ht="37.5" customHeight="1" x14ac:dyDescent="0.25">
      <c r="A7" s="663" t="s">
        <v>3</v>
      </c>
      <c r="B7" s="659" t="s">
        <v>4</v>
      </c>
      <c r="C7" s="659" t="s">
        <v>5</v>
      </c>
      <c r="D7" s="657" t="s">
        <v>6</v>
      </c>
      <c r="E7" s="659" t="s">
        <v>7</v>
      </c>
      <c r="F7" s="661" t="s">
        <v>8</v>
      </c>
      <c r="G7" s="661"/>
      <c r="H7" s="661" t="s">
        <v>179</v>
      </c>
      <c r="I7" s="661"/>
      <c r="J7" s="661" t="s">
        <v>176</v>
      </c>
      <c r="K7" s="661"/>
      <c r="L7" s="661" t="s">
        <v>177</v>
      </c>
      <c r="M7" s="661"/>
      <c r="N7" s="661" t="s">
        <v>178</v>
      </c>
      <c r="O7" s="661"/>
      <c r="P7" s="661" t="s">
        <v>13</v>
      </c>
      <c r="Q7" s="661"/>
      <c r="R7" s="661" t="s">
        <v>97</v>
      </c>
      <c r="S7" s="661" t="s">
        <v>14</v>
      </c>
      <c r="T7" s="661"/>
      <c r="U7" s="661" t="s">
        <v>15</v>
      </c>
      <c r="V7" s="661" t="s">
        <v>16</v>
      </c>
      <c r="W7" s="661" t="s">
        <v>95</v>
      </c>
      <c r="X7" s="661"/>
      <c r="Y7" s="661"/>
      <c r="Z7" s="661"/>
      <c r="AA7" s="672" t="s">
        <v>17</v>
      </c>
    </row>
    <row r="8" spans="1:27" ht="60.75" customHeight="1" x14ac:dyDescent="0.25">
      <c r="A8" s="664"/>
      <c r="B8" s="660"/>
      <c r="C8" s="660"/>
      <c r="D8" s="658"/>
      <c r="E8" s="660"/>
      <c r="F8" s="237" t="s">
        <v>18</v>
      </c>
      <c r="G8" s="238" t="s">
        <v>19</v>
      </c>
      <c r="H8" s="238" t="s">
        <v>20</v>
      </c>
      <c r="I8" s="238" t="s">
        <v>19</v>
      </c>
      <c r="J8" s="237" t="s">
        <v>21</v>
      </c>
      <c r="K8" s="238" t="s">
        <v>19</v>
      </c>
      <c r="L8" s="237" t="s">
        <v>21</v>
      </c>
      <c r="M8" s="238" t="s">
        <v>19</v>
      </c>
      <c r="N8" s="238" t="s">
        <v>20</v>
      </c>
      <c r="O8" s="238" t="s">
        <v>19</v>
      </c>
      <c r="P8" s="238" t="s">
        <v>20</v>
      </c>
      <c r="Q8" s="238" t="s">
        <v>19</v>
      </c>
      <c r="R8" s="665"/>
      <c r="S8" s="238" t="s">
        <v>22</v>
      </c>
      <c r="T8" s="239" t="s">
        <v>23</v>
      </c>
      <c r="U8" s="665"/>
      <c r="V8" s="665"/>
      <c r="W8" s="240" t="s">
        <v>24</v>
      </c>
      <c r="X8" s="241" t="s">
        <v>25</v>
      </c>
      <c r="Y8" s="241" t="s">
        <v>26</v>
      </c>
      <c r="Z8" s="241" t="s">
        <v>27</v>
      </c>
      <c r="AA8" s="673"/>
    </row>
    <row r="9" spans="1:27" x14ac:dyDescent="0.25">
      <c r="A9" s="153"/>
      <c r="B9" s="154" t="s">
        <v>28</v>
      </c>
      <c r="C9" s="154">
        <v>1</v>
      </c>
      <c r="D9" s="154">
        <v>2</v>
      </c>
      <c r="E9" s="242">
        <v>3</v>
      </c>
      <c r="F9" s="154">
        <v>4</v>
      </c>
      <c r="G9" s="154">
        <v>5</v>
      </c>
      <c r="H9" s="154">
        <v>6</v>
      </c>
      <c r="I9" s="154">
        <v>7</v>
      </c>
      <c r="J9" s="154">
        <v>8</v>
      </c>
      <c r="K9" s="154">
        <v>9</v>
      </c>
      <c r="L9" s="154">
        <v>10</v>
      </c>
      <c r="M9" s="154">
        <v>11</v>
      </c>
      <c r="N9" s="154">
        <v>12</v>
      </c>
      <c r="O9" s="154">
        <v>13</v>
      </c>
      <c r="P9" s="154">
        <v>14</v>
      </c>
      <c r="Q9" s="154">
        <v>15</v>
      </c>
      <c r="R9" s="154">
        <v>16</v>
      </c>
      <c r="S9" s="154">
        <v>17</v>
      </c>
      <c r="T9" s="154">
        <v>18</v>
      </c>
      <c r="U9" s="154">
        <v>19</v>
      </c>
      <c r="V9" s="154">
        <v>20</v>
      </c>
      <c r="W9" s="243">
        <v>21</v>
      </c>
      <c r="X9" s="154">
        <v>22</v>
      </c>
      <c r="Y9" s="154">
        <v>23</v>
      </c>
      <c r="Z9" s="154">
        <v>24</v>
      </c>
      <c r="AA9" s="244">
        <v>25</v>
      </c>
    </row>
    <row r="10" spans="1:27" s="236" customFormat="1" ht="18" customHeight="1" x14ac:dyDescent="0.25">
      <c r="A10" s="231" t="s">
        <v>28</v>
      </c>
      <c r="B10" s="232" t="s">
        <v>361</v>
      </c>
      <c r="C10" s="248" t="s">
        <v>362</v>
      </c>
      <c r="D10" s="233"/>
      <c r="E10" s="234"/>
      <c r="F10" s="233"/>
      <c r="G10" s="233"/>
      <c r="H10" s="233"/>
      <c r="I10" s="233"/>
      <c r="J10" s="233"/>
      <c r="K10" s="233"/>
      <c r="L10" s="233"/>
      <c r="M10" s="233"/>
      <c r="N10" s="233"/>
      <c r="O10" s="233"/>
      <c r="P10" s="233"/>
      <c r="Q10" s="233"/>
      <c r="R10" s="233"/>
      <c r="S10" s="233"/>
      <c r="T10" s="233"/>
      <c r="U10" s="233"/>
      <c r="V10" s="233"/>
      <c r="W10" s="245">
        <v>1091374655</v>
      </c>
      <c r="X10" s="246">
        <v>537382027</v>
      </c>
      <c r="Y10" s="246">
        <v>240290297</v>
      </c>
      <c r="Z10" s="246">
        <v>313702331</v>
      </c>
      <c r="AA10" s="235"/>
    </row>
    <row r="11" spans="1:27" ht="12.75" customHeight="1" x14ac:dyDescent="0.25">
      <c r="A11" s="145" t="s">
        <v>141</v>
      </c>
      <c r="B11" s="146" t="s">
        <v>30</v>
      </c>
      <c r="C11" s="149" t="s">
        <v>363</v>
      </c>
      <c r="D11" s="147"/>
      <c r="E11" s="211"/>
      <c r="F11" s="147"/>
      <c r="G11" s="147"/>
      <c r="H11" s="147"/>
      <c r="I11" s="147"/>
      <c r="J11" s="147"/>
      <c r="K11" s="147"/>
      <c r="L11" s="147"/>
      <c r="M11" s="147"/>
      <c r="N11" s="147"/>
      <c r="O11" s="147"/>
      <c r="P11" s="147"/>
      <c r="Q11" s="147"/>
      <c r="R11" s="147"/>
      <c r="S11" s="147"/>
      <c r="T11" s="147"/>
      <c r="U11" s="147"/>
      <c r="V11" s="147"/>
      <c r="W11" s="198"/>
      <c r="X11" s="147"/>
      <c r="Y11" s="147"/>
      <c r="Z11" s="147"/>
      <c r="AA11" s="148"/>
    </row>
    <row r="12" spans="1:27" ht="23.25" customHeight="1" x14ac:dyDescent="0.25">
      <c r="A12" s="96">
        <v>1</v>
      </c>
      <c r="B12" s="97" t="s">
        <v>205</v>
      </c>
      <c r="C12" s="98">
        <v>21749</v>
      </c>
      <c r="D12" s="99" t="s">
        <v>145</v>
      </c>
      <c r="E12" s="212" t="s">
        <v>207</v>
      </c>
      <c r="F12" s="100">
        <v>4.9800000000000004</v>
      </c>
      <c r="G12" s="98">
        <v>42156</v>
      </c>
      <c r="H12" s="99">
        <v>0.3</v>
      </c>
      <c r="I12" s="98">
        <v>38261</v>
      </c>
      <c r="J12" s="99"/>
      <c r="K12" s="99"/>
      <c r="L12" s="99"/>
      <c r="M12" s="99"/>
      <c r="N12" s="99"/>
      <c r="O12" s="99"/>
      <c r="P12" s="100" t="s">
        <v>265</v>
      </c>
      <c r="Q12" s="98" t="s">
        <v>266</v>
      </c>
      <c r="R12" s="225">
        <v>4909300</v>
      </c>
      <c r="S12" s="99" t="s">
        <v>206</v>
      </c>
      <c r="T12" s="99"/>
      <c r="U12" s="98">
        <v>42248</v>
      </c>
      <c r="V12" s="99" t="s">
        <v>243</v>
      </c>
      <c r="W12" s="191">
        <v>125187150</v>
      </c>
      <c r="X12" s="103">
        <v>54002300</v>
      </c>
      <c r="Y12" s="103">
        <v>24546500</v>
      </c>
      <c r="Z12" s="102">
        <v>46638350</v>
      </c>
      <c r="AA12" s="104" t="s">
        <v>239</v>
      </c>
    </row>
    <row r="13" spans="1:27" ht="27" customHeight="1" x14ac:dyDescent="0.25">
      <c r="A13" s="96">
        <v>2</v>
      </c>
      <c r="B13" s="97" t="s">
        <v>197</v>
      </c>
      <c r="C13" s="98">
        <v>22992</v>
      </c>
      <c r="D13" s="99" t="s">
        <v>161</v>
      </c>
      <c r="E13" s="212" t="s">
        <v>218</v>
      </c>
      <c r="F13" s="100">
        <v>1.18</v>
      </c>
      <c r="G13" s="98">
        <v>38261</v>
      </c>
      <c r="H13" s="141"/>
      <c r="I13" s="98"/>
      <c r="J13" s="99"/>
      <c r="K13" s="99"/>
      <c r="L13" s="141"/>
      <c r="M13" s="98"/>
      <c r="N13" s="99"/>
      <c r="O13" s="99"/>
      <c r="P13" s="100"/>
      <c r="Q13" s="98"/>
      <c r="R13" s="225">
        <v>1187866.6666666667</v>
      </c>
      <c r="S13" s="99" t="s">
        <v>198</v>
      </c>
      <c r="T13" s="99" t="s">
        <v>198</v>
      </c>
      <c r="U13" s="98">
        <v>42248</v>
      </c>
      <c r="V13" s="99" t="s">
        <v>244</v>
      </c>
      <c r="W13" s="191">
        <v>18411933</v>
      </c>
      <c r="X13" s="103">
        <v>8315067</v>
      </c>
      <c r="Y13" s="103">
        <v>5939333</v>
      </c>
      <c r="Z13" s="102">
        <v>4157533</v>
      </c>
      <c r="AA13" s="104" t="s">
        <v>377</v>
      </c>
    </row>
    <row r="14" spans="1:27" ht="27.75" customHeight="1" x14ac:dyDescent="0.25">
      <c r="A14" s="144">
        <v>3</v>
      </c>
      <c r="B14" s="97" t="s">
        <v>204</v>
      </c>
      <c r="C14" s="98">
        <v>23776</v>
      </c>
      <c r="D14" s="99" t="s">
        <v>151</v>
      </c>
      <c r="E14" s="212" t="s">
        <v>323</v>
      </c>
      <c r="F14" s="100">
        <v>3.66</v>
      </c>
      <c r="G14" s="98">
        <v>41974</v>
      </c>
      <c r="H14" s="99">
        <v>0.15</v>
      </c>
      <c r="I14" s="98">
        <v>40179</v>
      </c>
      <c r="J14" s="99"/>
      <c r="K14" s="99"/>
      <c r="L14" s="141"/>
      <c r="M14" s="98"/>
      <c r="N14" s="99"/>
      <c r="O14" s="99"/>
      <c r="P14" s="100" t="s">
        <v>267</v>
      </c>
      <c r="Q14" s="98" t="s">
        <v>268</v>
      </c>
      <c r="R14" s="225">
        <v>3584100</v>
      </c>
      <c r="S14" s="99" t="s">
        <v>160</v>
      </c>
      <c r="T14" s="99" t="s">
        <v>160</v>
      </c>
      <c r="U14" s="98">
        <v>42248</v>
      </c>
      <c r="V14" s="99" t="s">
        <v>245</v>
      </c>
      <c r="W14" s="191">
        <v>84226350</v>
      </c>
      <c r="X14" s="103">
        <v>46593300</v>
      </c>
      <c r="Y14" s="103">
        <v>17920500</v>
      </c>
      <c r="Z14" s="102">
        <v>19712550</v>
      </c>
      <c r="AA14" s="104" t="s">
        <v>239</v>
      </c>
    </row>
    <row r="15" spans="1:27" ht="30.75" customHeight="1" x14ac:dyDescent="0.25">
      <c r="A15" s="96">
        <v>4</v>
      </c>
      <c r="B15" s="97" t="s">
        <v>146</v>
      </c>
      <c r="C15" s="98">
        <v>22037</v>
      </c>
      <c r="D15" s="99"/>
      <c r="E15" s="212" t="s">
        <v>208</v>
      </c>
      <c r="F15" s="99">
        <v>1.18</v>
      </c>
      <c r="G15" s="98">
        <v>40238</v>
      </c>
      <c r="H15" s="99"/>
      <c r="I15" s="98"/>
      <c r="J15" s="99"/>
      <c r="K15" s="99"/>
      <c r="L15" s="99"/>
      <c r="M15" s="99"/>
      <c r="N15" s="99"/>
      <c r="O15" s="99"/>
      <c r="P15" s="100"/>
      <c r="Q15" s="98"/>
      <c r="R15" s="226">
        <v>1187866.6666666667</v>
      </c>
      <c r="S15" s="99" t="s">
        <v>219</v>
      </c>
      <c r="T15" s="99"/>
      <c r="U15" s="98">
        <v>42248</v>
      </c>
      <c r="V15" s="82" t="s">
        <v>246</v>
      </c>
      <c r="W15" s="191">
        <v>23163399</v>
      </c>
      <c r="X15" s="85">
        <v>16630133</v>
      </c>
      <c r="Y15" s="103">
        <v>5939333</v>
      </c>
      <c r="Z15" s="87">
        <v>593933</v>
      </c>
      <c r="AA15" s="104" t="s">
        <v>377</v>
      </c>
    </row>
    <row r="16" spans="1:27" ht="30" customHeight="1" x14ac:dyDescent="0.25">
      <c r="A16" s="96">
        <v>5</v>
      </c>
      <c r="B16" s="97" t="s">
        <v>148</v>
      </c>
      <c r="C16" s="98">
        <v>21903</v>
      </c>
      <c r="D16" s="99"/>
      <c r="E16" s="212" t="s">
        <v>209</v>
      </c>
      <c r="F16" s="100">
        <v>2.4500000000000002</v>
      </c>
      <c r="G16" s="98">
        <v>38261</v>
      </c>
      <c r="H16" s="99"/>
      <c r="I16" s="98"/>
      <c r="J16" s="99"/>
      <c r="K16" s="99"/>
      <c r="L16" s="99"/>
      <c r="M16" s="99"/>
      <c r="N16" s="99"/>
      <c r="O16" s="99"/>
      <c r="P16" s="100"/>
      <c r="Q16" s="98"/>
      <c r="R16" s="225">
        <v>2466333.3333333335</v>
      </c>
      <c r="S16" s="99" t="s">
        <v>220</v>
      </c>
      <c r="T16" s="99"/>
      <c r="U16" s="98">
        <v>42248</v>
      </c>
      <c r="V16" s="82" t="s">
        <v>247</v>
      </c>
      <c r="W16" s="191">
        <v>54875917</v>
      </c>
      <c r="X16" s="85">
        <v>32062333</v>
      </c>
      <c r="Y16" s="103">
        <v>12331667</v>
      </c>
      <c r="Z16" s="87">
        <v>10481917</v>
      </c>
      <c r="AA16" s="104" t="s">
        <v>378</v>
      </c>
    </row>
    <row r="17" spans="1:27" ht="27.75" customHeight="1" x14ac:dyDescent="0.25">
      <c r="A17" s="79">
        <v>6</v>
      </c>
      <c r="B17" s="80" t="s">
        <v>167</v>
      </c>
      <c r="C17" s="81">
        <v>21036</v>
      </c>
      <c r="D17" s="82"/>
      <c r="E17" s="182" t="s">
        <v>210</v>
      </c>
      <c r="F17" s="83">
        <v>1.18</v>
      </c>
      <c r="G17" s="81">
        <v>38261</v>
      </c>
      <c r="H17" s="82"/>
      <c r="I17" s="81"/>
      <c r="J17" s="82"/>
      <c r="K17" s="82"/>
      <c r="L17" s="82"/>
      <c r="M17" s="82"/>
      <c r="N17" s="82"/>
      <c r="O17" s="82"/>
      <c r="P17" s="83"/>
      <c r="Q17" s="81"/>
      <c r="R17" s="226">
        <v>1187866.6666666667</v>
      </c>
      <c r="S17" s="82" t="s">
        <v>221</v>
      </c>
      <c r="T17" s="114"/>
      <c r="U17" s="81">
        <v>42248</v>
      </c>
      <c r="V17" s="82" t="s">
        <v>248</v>
      </c>
      <c r="W17" s="194">
        <v>14848333</v>
      </c>
      <c r="X17" s="85">
        <v>7127200</v>
      </c>
      <c r="Y17" s="85">
        <v>5939333</v>
      </c>
      <c r="Z17" s="87">
        <v>1781800</v>
      </c>
      <c r="AA17" s="104" t="s">
        <v>377</v>
      </c>
    </row>
    <row r="18" spans="1:27" s="77" customFormat="1" ht="13.5" customHeight="1" x14ac:dyDescent="0.25">
      <c r="A18" s="145" t="s">
        <v>155</v>
      </c>
      <c r="B18" s="149" t="s">
        <v>33</v>
      </c>
      <c r="C18" s="247" t="s">
        <v>364</v>
      </c>
      <c r="D18" s="150"/>
      <c r="E18" s="159"/>
      <c r="F18" s="150"/>
      <c r="G18" s="150"/>
      <c r="H18" s="150"/>
      <c r="I18" s="150"/>
      <c r="J18" s="150"/>
      <c r="K18" s="150"/>
      <c r="L18" s="150"/>
      <c r="M18" s="150"/>
      <c r="N18" s="150"/>
      <c r="O18" s="150"/>
      <c r="P18" s="150"/>
      <c r="Q18" s="150"/>
      <c r="R18" s="150"/>
      <c r="S18" s="150"/>
      <c r="T18" s="150"/>
      <c r="U18" s="150"/>
      <c r="V18" s="150"/>
      <c r="W18" s="198"/>
      <c r="X18" s="150"/>
      <c r="Y18" s="150"/>
      <c r="Z18" s="151"/>
      <c r="AA18" s="152"/>
    </row>
    <row r="19" spans="1:27" ht="50.25" customHeight="1" x14ac:dyDescent="0.25">
      <c r="A19" s="137">
        <v>1</v>
      </c>
      <c r="B19" s="138" t="s">
        <v>156</v>
      </c>
      <c r="C19" s="139">
        <v>22010</v>
      </c>
      <c r="D19" s="140" t="s">
        <v>145</v>
      </c>
      <c r="E19" s="213" t="s">
        <v>211</v>
      </c>
      <c r="F19" s="155">
        <v>4.9800000000000004</v>
      </c>
      <c r="G19" s="139">
        <v>39448</v>
      </c>
      <c r="H19" s="140" t="s">
        <v>270</v>
      </c>
      <c r="I19" s="139" t="s">
        <v>271</v>
      </c>
      <c r="J19" s="140"/>
      <c r="K19" s="140"/>
      <c r="L19" s="161" t="s">
        <v>273</v>
      </c>
      <c r="M19" s="139" t="s">
        <v>272</v>
      </c>
      <c r="N19" s="140"/>
      <c r="O19" s="140"/>
      <c r="P19" s="155"/>
      <c r="Q19" s="139"/>
      <c r="R19" s="227">
        <v>5831293.9333333336</v>
      </c>
      <c r="S19" s="140" t="s">
        <v>222</v>
      </c>
      <c r="T19" s="140"/>
      <c r="U19" s="139">
        <v>42248</v>
      </c>
      <c r="V19" s="140" t="s">
        <v>254</v>
      </c>
      <c r="W19" s="199">
        <v>155987113</v>
      </c>
      <c r="X19" s="163">
        <v>81638115</v>
      </c>
      <c r="Y19" s="163">
        <v>29156470</v>
      </c>
      <c r="Z19" s="164">
        <v>45192528</v>
      </c>
      <c r="AA19" s="165" t="s">
        <v>240</v>
      </c>
    </row>
    <row r="20" spans="1:27" ht="27.75" customHeight="1" x14ac:dyDescent="0.25">
      <c r="A20" s="79">
        <v>2</v>
      </c>
      <c r="B20" s="80" t="s">
        <v>152</v>
      </c>
      <c r="C20" s="81">
        <v>21154</v>
      </c>
      <c r="D20" s="82" t="s">
        <v>153</v>
      </c>
      <c r="E20" s="182" t="s">
        <v>212</v>
      </c>
      <c r="F20" s="83">
        <v>4.9800000000000004</v>
      </c>
      <c r="G20" s="81">
        <v>39965</v>
      </c>
      <c r="H20" s="82">
        <v>0.3</v>
      </c>
      <c r="I20" s="81">
        <v>40452</v>
      </c>
      <c r="J20" s="82"/>
      <c r="K20" s="82"/>
      <c r="L20" s="112" t="s">
        <v>269</v>
      </c>
      <c r="M20" s="81" t="s">
        <v>274</v>
      </c>
      <c r="N20" s="82"/>
      <c r="O20" s="82"/>
      <c r="P20" s="83"/>
      <c r="Q20" s="81"/>
      <c r="R20" s="226">
        <v>5583398</v>
      </c>
      <c r="S20" s="82" t="s">
        <v>154</v>
      </c>
      <c r="T20" s="82"/>
      <c r="U20" s="81">
        <v>42278</v>
      </c>
      <c r="V20" s="82" t="s">
        <v>255</v>
      </c>
      <c r="W20" s="194">
        <v>114459659</v>
      </c>
      <c r="X20" s="85">
        <v>39083786</v>
      </c>
      <c r="Y20" s="85">
        <v>27916990</v>
      </c>
      <c r="Z20" s="87">
        <v>47458883</v>
      </c>
      <c r="AA20" s="88" t="s">
        <v>379</v>
      </c>
    </row>
    <row r="21" spans="1:27" ht="65.25" customHeight="1" x14ac:dyDescent="0.25">
      <c r="A21" s="79">
        <v>3</v>
      </c>
      <c r="B21" s="80" t="s">
        <v>157</v>
      </c>
      <c r="C21" s="81">
        <v>22945</v>
      </c>
      <c r="D21" s="82"/>
      <c r="E21" s="182" t="s">
        <v>213</v>
      </c>
      <c r="F21" s="83">
        <v>2.98</v>
      </c>
      <c r="G21" s="81">
        <v>37987</v>
      </c>
      <c r="H21" s="82" t="s">
        <v>275</v>
      </c>
      <c r="I21" s="81" t="s">
        <v>276</v>
      </c>
      <c r="J21" s="82"/>
      <c r="K21" s="82"/>
      <c r="L21" s="112">
        <v>0.17</v>
      </c>
      <c r="M21" s="81">
        <v>40179</v>
      </c>
      <c r="N21" s="82"/>
      <c r="O21" s="82"/>
      <c r="P21" s="83"/>
      <c r="Q21" s="81"/>
      <c r="R21" s="226">
        <v>3621437.1666666665</v>
      </c>
      <c r="S21" s="82" t="s">
        <v>223</v>
      </c>
      <c r="T21" s="82"/>
      <c r="U21" s="81">
        <v>42248</v>
      </c>
      <c r="V21" s="82" t="s">
        <v>256</v>
      </c>
      <c r="W21" s="194">
        <v>68807306</v>
      </c>
      <c r="X21" s="85">
        <v>25350060</v>
      </c>
      <c r="Y21" s="85">
        <v>18107186</v>
      </c>
      <c r="Z21" s="87">
        <v>25350060</v>
      </c>
      <c r="AA21" s="88" t="s">
        <v>380</v>
      </c>
    </row>
    <row r="22" spans="1:27" ht="57" customHeight="1" x14ac:dyDescent="0.25">
      <c r="A22" s="79">
        <v>4</v>
      </c>
      <c r="B22" s="80" t="s">
        <v>163</v>
      </c>
      <c r="C22" s="81">
        <v>22195</v>
      </c>
      <c r="D22" s="82"/>
      <c r="E22" s="182" t="s">
        <v>214</v>
      </c>
      <c r="F22" s="83">
        <v>4.0599999999999996</v>
      </c>
      <c r="G22" s="81">
        <v>39448</v>
      </c>
      <c r="H22" s="112"/>
      <c r="I22" s="81"/>
      <c r="J22" s="82"/>
      <c r="K22" s="82"/>
      <c r="L22" s="112" t="s">
        <v>277</v>
      </c>
      <c r="M22" s="81" t="s">
        <v>278</v>
      </c>
      <c r="N22" s="82"/>
      <c r="O22" s="82"/>
      <c r="P22" s="83"/>
      <c r="Q22" s="81"/>
      <c r="R22" s="226">
        <v>4476488.333333333</v>
      </c>
      <c r="S22" s="82" t="s">
        <v>164</v>
      </c>
      <c r="T22" s="114"/>
      <c r="U22" s="81">
        <v>42309</v>
      </c>
      <c r="V22" s="82" t="s">
        <v>257</v>
      </c>
      <c r="W22" s="194">
        <v>127579918</v>
      </c>
      <c r="X22" s="85">
        <v>67147325</v>
      </c>
      <c r="Y22" s="85">
        <v>22382442</v>
      </c>
      <c r="Z22" s="87">
        <v>38050151</v>
      </c>
      <c r="AA22" s="88" t="s">
        <v>381</v>
      </c>
    </row>
    <row r="23" spans="1:27" ht="30.75" customHeight="1" x14ac:dyDescent="0.25">
      <c r="A23" s="79">
        <v>5</v>
      </c>
      <c r="B23" s="80" t="s">
        <v>171</v>
      </c>
      <c r="C23" s="81">
        <v>20779</v>
      </c>
      <c r="D23" s="82" t="s">
        <v>169</v>
      </c>
      <c r="E23" s="182" t="s">
        <v>215</v>
      </c>
      <c r="F23" s="83"/>
      <c r="G23" s="81"/>
      <c r="H23" s="112"/>
      <c r="I23" s="81"/>
      <c r="J23" s="82"/>
      <c r="K23" s="82"/>
      <c r="L23" s="112"/>
      <c r="M23" s="81"/>
      <c r="N23" s="82"/>
      <c r="O23" s="82"/>
      <c r="P23" s="83"/>
      <c r="Q23" s="81"/>
      <c r="R23" s="85"/>
      <c r="S23" s="82" t="s">
        <v>172</v>
      </c>
      <c r="T23" s="114"/>
      <c r="U23" s="81">
        <v>42248</v>
      </c>
      <c r="V23" s="82" t="s">
        <v>258</v>
      </c>
      <c r="W23" s="674" t="s">
        <v>162</v>
      </c>
      <c r="X23" s="674"/>
      <c r="Y23" s="674"/>
      <c r="Z23" s="674"/>
      <c r="AA23" s="88" t="s">
        <v>382</v>
      </c>
    </row>
    <row r="24" spans="1:27" ht="54" customHeight="1" x14ac:dyDescent="0.25">
      <c r="A24" s="79">
        <v>6</v>
      </c>
      <c r="B24" s="80" t="s">
        <v>187</v>
      </c>
      <c r="C24" s="81">
        <v>21415</v>
      </c>
      <c r="D24" s="82" t="s">
        <v>241</v>
      </c>
      <c r="E24" s="182" t="s">
        <v>216</v>
      </c>
      <c r="F24" s="83">
        <v>4.03</v>
      </c>
      <c r="G24" s="81">
        <v>38261</v>
      </c>
      <c r="H24" s="112"/>
      <c r="I24" s="81"/>
      <c r="J24" s="82"/>
      <c r="K24" s="82"/>
      <c r="L24" s="112" t="s">
        <v>279</v>
      </c>
      <c r="M24" s="81" t="s">
        <v>280</v>
      </c>
      <c r="N24" s="82"/>
      <c r="O24" s="82"/>
      <c r="P24" s="83"/>
      <c r="Q24" s="81"/>
      <c r="R24" s="226">
        <v>4574654.5</v>
      </c>
      <c r="S24" s="82" t="s">
        <v>188</v>
      </c>
      <c r="T24" s="114"/>
      <c r="U24" s="81">
        <v>42248</v>
      </c>
      <c r="V24" s="82" t="s">
        <v>259</v>
      </c>
      <c r="W24" s="194">
        <v>102929727</v>
      </c>
      <c r="X24" s="85">
        <v>41171891</v>
      </c>
      <c r="Y24" s="85">
        <v>22873273</v>
      </c>
      <c r="Z24" s="87">
        <v>38884563</v>
      </c>
      <c r="AA24" s="88" t="s">
        <v>240</v>
      </c>
    </row>
    <row r="25" spans="1:27" ht="28.5" customHeight="1" x14ac:dyDescent="0.25">
      <c r="A25" s="79">
        <v>7</v>
      </c>
      <c r="B25" s="80" t="s">
        <v>190</v>
      </c>
      <c r="C25" s="81">
        <v>20932</v>
      </c>
      <c r="D25" s="82" t="s">
        <v>201</v>
      </c>
      <c r="E25" s="182" t="s">
        <v>217</v>
      </c>
      <c r="F25" s="83"/>
      <c r="G25" s="81"/>
      <c r="H25" s="112"/>
      <c r="I25" s="81"/>
      <c r="J25" s="82"/>
      <c r="K25" s="82"/>
      <c r="L25" s="112"/>
      <c r="M25" s="81"/>
      <c r="N25" s="82"/>
      <c r="O25" s="82"/>
      <c r="P25" s="83"/>
      <c r="Q25" s="81"/>
      <c r="R25" s="85"/>
      <c r="S25" s="82" t="s">
        <v>192</v>
      </c>
      <c r="T25" s="114"/>
      <c r="U25" s="81">
        <v>42248</v>
      </c>
      <c r="V25" s="82" t="s">
        <v>260</v>
      </c>
      <c r="W25" s="674" t="s">
        <v>162</v>
      </c>
      <c r="X25" s="674"/>
      <c r="Y25" s="674"/>
      <c r="Z25" s="674"/>
      <c r="AA25" s="88" t="s">
        <v>324</v>
      </c>
    </row>
    <row r="26" spans="1:27" ht="50.25" customHeight="1" x14ac:dyDescent="0.25">
      <c r="A26" s="79">
        <v>8</v>
      </c>
      <c r="B26" s="80" t="s">
        <v>191</v>
      </c>
      <c r="C26" s="81">
        <v>23472</v>
      </c>
      <c r="D26" s="82" t="s">
        <v>201</v>
      </c>
      <c r="E26" s="182" t="s">
        <v>217</v>
      </c>
      <c r="F26" s="83">
        <v>4.0599999999999996</v>
      </c>
      <c r="G26" s="81">
        <v>42064</v>
      </c>
      <c r="H26" s="112"/>
      <c r="I26" s="81"/>
      <c r="J26" s="112" t="s">
        <v>281</v>
      </c>
      <c r="K26" s="81" t="s">
        <v>282</v>
      </c>
      <c r="L26" s="112"/>
      <c r="M26" s="81"/>
      <c r="N26" s="82"/>
      <c r="O26" s="82"/>
      <c r="P26" s="83" t="s">
        <v>284</v>
      </c>
      <c r="Q26" s="81" t="s">
        <v>285</v>
      </c>
      <c r="R26" s="226">
        <v>4667946.1333333338</v>
      </c>
      <c r="S26" s="82" t="s">
        <v>193</v>
      </c>
      <c r="T26" s="114" t="s">
        <v>194</v>
      </c>
      <c r="U26" s="81">
        <v>42248</v>
      </c>
      <c r="V26" s="82" t="s">
        <v>261</v>
      </c>
      <c r="W26" s="194">
        <v>93358923</v>
      </c>
      <c r="X26" s="85">
        <v>51347407</v>
      </c>
      <c r="Y26" s="85">
        <v>23339731</v>
      </c>
      <c r="Z26" s="87">
        <v>18671785</v>
      </c>
      <c r="AA26" s="88" t="s">
        <v>324</v>
      </c>
    </row>
    <row r="27" spans="1:27" ht="49.5" customHeight="1" x14ac:dyDescent="0.25">
      <c r="A27" s="79">
        <v>9</v>
      </c>
      <c r="B27" s="80" t="s">
        <v>195</v>
      </c>
      <c r="C27" s="81">
        <v>23816</v>
      </c>
      <c r="D27" s="82" t="s">
        <v>200</v>
      </c>
      <c r="E27" s="182" t="s">
        <v>217</v>
      </c>
      <c r="F27" s="83">
        <v>4.0599999999999996</v>
      </c>
      <c r="G27" s="81">
        <v>41609</v>
      </c>
      <c r="H27" s="112"/>
      <c r="I27" s="81"/>
      <c r="J27" s="112" t="s">
        <v>286</v>
      </c>
      <c r="K27" s="81" t="s">
        <v>282</v>
      </c>
      <c r="L27" s="112"/>
      <c r="M27" s="81"/>
      <c r="N27" s="82"/>
      <c r="O27" s="82"/>
      <c r="P27" s="83" t="s">
        <v>283</v>
      </c>
      <c r="Q27" s="81" t="s">
        <v>287</v>
      </c>
      <c r="R27" s="226">
        <v>4779507.8666666662</v>
      </c>
      <c r="S27" s="82" t="s">
        <v>196</v>
      </c>
      <c r="T27" s="114" t="s">
        <v>196</v>
      </c>
      <c r="U27" s="81">
        <v>42248</v>
      </c>
      <c r="V27" s="82" t="s">
        <v>262</v>
      </c>
      <c r="W27" s="194">
        <v>107538927</v>
      </c>
      <c r="X27" s="85">
        <v>66913110</v>
      </c>
      <c r="Y27" s="85">
        <v>23897539</v>
      </c>
      <c r="Z27" s="87">
        <v>16728278</v>
      </c>
      <c r="AA27" s="88" t="s">
        <v>324</v>
      </c>
    </row>
    <row r="28" spans="1:27" s="236" customFormat="1" ht="18" customHeight="1" x14ac:dyDescent="0.25">
      <c r="A28" s="250" t="s">
        <v>359</v>
      </c>
      <c r="B28" s="251" t="s">
        <v>360</v>
      </c>
      <c r="C28" s="249" t="s">
        <v>365</v>
      </c>
      <c r="D28" s="252"/>
      <c r="E28" s="253"/>
      <c r="F28" s="252"/>
      <c r="G28" s="252"/>
      <c r="H28" s="252"/>
      <c r="I28" s="252"/>
      <c r="J28" s="252"/>
      <c r="K28" s="252"/>
      <c r="L28" s="252"/>
      <c r="M28" s="252"/>
      <c r="N28" s="252"/>
      <c r="O28" s="252"/>
      <c r="P28" s="252"/>
      <c r="Q28" s="252"/>
      <c r="R28" s="252"/>
      <c r="S28" s="252"/>
      <c r="T28" s="252"/>
      <c r="U28" s="252"/>
      <c r="V28" s="252"/>
      <c r="W28" s="254">
        <f>SUM(W29:W39)</f>
        <v>1124467860</v>
      </c>
      <c r="X28" s="255">
        <v>507640537</v>
      </c>
      <c r="Y28" s="255">
        <v>255433898</v>
      </c>
      <c r="Z28" s="255">
        <v>360718425</v>
      </c>
      <c r="AA28" s="252"/>
    </row>
    <row r="29" spans="1:27" ht="47.25" customHeight="1" x14ac:dyDescent="0.25">
      <c r="A29" s="96">
        <v>1</v>
      </c>
      <c r="B29" s="97" t="s">
        <v>298</v>
      </c>
      <c r="C29" s="98">
        <v>22939</v>
      </c>
      <c r="D29" s="99"/>
      <c r="E29" s="97" t="s">
        <v>305</v>
      </c>
      <c r="F29" s="100">
        <v>4.0599999999999996</v>
      </c>
      <c r="G29" s="98">
        <v>39692</v>
      </c>
      <c r="H29" s="99"/>
      <c r="I29" s="98"/>
      <c r="J29" s="141"/>
      <c r="K29" s="98"/>
      <c r="L29" s="141" t="s">
        <v>300</v>
      </c>
      <c r="M29" s="98" t="s">
        <v>299</v>
      </c>
      <c r="N29" s="99"/>
      <c r="O29" s="99"/>
      <c r="P29" s="100"/>
      <c r="Q29" s="98"/>
      <c r="R29" s="225">
        <v>4381443.7333333334</v>
      </c>
      <c r="S29" s="99" t="s">
        <v>301</v>
      </c>
      <c r="T29" s="99"/>
      <c r="U29" s="98">
        <v>42248</v>
      </c>
      <c r="V29" s="99" t="s">
        <v>256</v>
      </c>
      <c r="W29" s="203">
        <v>82152070</v>
      </c>
      <c r="X29" s="103">
        <v>30670106</v>
      </c>
      <c r="Y29" s="103">
        <v>21907219</v>
      </c>
      <c r="Z29" s="102">
        <v>29574745</v>
      </c>
      <c r="AA29" s="104" t="s">
        <v>387</v>
      </c>
    </row>
    <row r="30" spans="1:27" ht="19.5" customHeight="1" x14ac:dyDescent="0.25">
      <c r="A30" s="96">
        <v>2</v>
      </c>
      <c r="B30" s="97" t="s">
        <v>302</v>
      </c>
      <c r="C30" s="98">
        <v>21217</v>
      </c>
      <c r="D30" s="99" t="s">
        <v>145</v>
      </c>
      <c r="E30" s="97" t="s">
        <v>306</v>
      </c>
      <c r="F30" s="100">
        <v>4.9800000000000004</v>
      </c>
      <c r="G30" s="98">
        <v>41244</v>
      </c>
      <c r="H30" s="224">
        <v>0.3</v>
      </c>
      <c r="I30" s="98">
        <v>38504</v>
      </c>
      <c r="J30" s="99"/>
      <c r="K30" s="99"/>
      <c r="L30" s="141"/>
      <c r="M30" s="98"/>
      <c r="N30" s="99"/>
      <c r="O30" s="99"/>
      <c r="P30" s="100">
        <v>4.6500000000000004</v>
      </c>
      <c r="Q30" s="98">
        <v>40330</v>
      </c>
      <c r="R30" s="225">
        <v>5187875</v>
      </c>
      <c r="S30" s="99" t="s">
        <v>303</v>
      </c>
      <c r="T30" s="99"/>
      <c r="U30" s="98">
        <v>42248</v>
      </c>
      <c r="V30" s="99" t="s">
        <v>366</v>
      </c>
      <c r="W30" s="203">
        <v>98569625</v>
      </c>
      <c r="X30" s="103">
        <v>36315125</v>
      </c>
      <c r="Y30" s="103">
        <v>25939375</v>
      </c>
      <c r="Z30" s="102">
        <v>36315125</v>
      </c>
      <c r="AA30" s="104" t="s">
        <v>355</v>
      </c>
    </row>
    <row r="31" spans="1:27" ht="26.25" customHeight="1" x14ac:dyDescent="0.25">
      <c r="A31" s="144">
        <v>3</v>
      </c>
      <c r="B31" s="97" t="s">
        <v>304</v>
      </c>
      <c r="C31" s="98">
        <v>23780</v>
      </c>
      <c r="D31" s="99" t="s">
        <v>151</v>
      </c>
      <c r="E31" s="97" t="s">
        <v>307</v>
      </c>
      <c r="F31" s="100">
        <v>3.86</v>
      </c>
      <c r="G31" s="98">
        <v>41974</v>
      </c>
      <c r="H31" s="99"/>
      <c r="I31" s="98"/>
      <c r="J31" s="99"/>
      <c r="K31" s="99"/>
      <c r="L31" s="141"/>
      <c r="M31" s="98"/>
      <c r="N31" s="99"/>
      <c r="O31" s="99"/>
      <c r="P31" s="100" t="s">
        <v>308</v>
      </c>
      <c r="Q31" s="98" t="s">
        <v>268</v>
      </c>
      <c r="R31" s="225">
        <v>3634433.3333333335</v>
      </c>
      <c r="S31" s="99" t="s">
        <v>309</v>
      </c>
      <c r="T31" s="99"/>
      <c r="U31" s="98">
        <v>42248</v>
      </c>
      <c r="V31" s="99" t="s">
        <v>245</v>
      </c>
      <c r="W31" s="203">
        <v>74505883</v>
      </c>
      <c r="X31" s="103">
        <v>47247633</v>
      </c>
      <c r="Y31" s="103">
        <v>18172167</v>
      </c>
      <c r="Z31" s="102">
        <v>9086083</v>
      </c>
      <c r="AA31" s="104" t="s">
        <v>356</v>
      </c>
    </row>
    <row r="32" spans="1:27" ht="47.25" customHeight="1" x14ac:dyDescent="0.25">
      <c r="A32" s="96">
        <v>4</v>
      </c>
      <c r="B32" s="97" t="s">
        <v>310</v>
      </c>
      <c r="C32" s="98">
        <v>22117</v>
      </c>
      <c r="D32" s="99" t="s">
        <v>151</v>
      </c>
      <c r="E32" s="97" t="s">
        <v>311</v>
      </c>
      <c r="F32" s="99">
        <v>3.26</v>
      </c>
      <c r="G32" s="98">
        <v>42186</v>
      </c>
      <c r="H32" s="99" t="s">
        <v>314</v>
      </c>
      <c r="I32" s="98" t="s">
        <v>313</v>
      </c>
      <c r="J32" s="99"/>
      <c r="K32" s="99"/>
      <c r="L32" s="99"/>
      <c r="M32" s="99"/>
      <c r="N32" s="99"/>
      <c r="O32" s="99"/>
      <c r="P32" s="100" t="s">
        <v>375</v>
      </c>
      <c r="Q32" s="98" t="s">
        <v>376</v>
      </c>
      <c r="R32" s="226">
        <v>3183650</v>
      </c>
      <c r="S32" s="99" t="s">
        <v>312</v>
      </c>
      <c r="T32" s="99"/>
      <c r="U32" s="98">
        <v>42248</v>
      </c>
      <c r="V32" s="82" t="s">
        <v>367</v>
      </c>
      <c r="W32" s="203">
        <v>85958550</v>
      </c>
      <c r="X32" s="85">
        <v>44571100</v>
      </c>
      <c r="Y32" s="103">
        <v>15918250</v>
      </c>
      <c r="Z32" s="87">
        <v>25469200</v>
      </c>
      <c r="AA32" s="104" t="s">
        <v>356</v>
      </c>
    </row>
    <row r="33" spans="1:27" ht="57" customHeight="1" x14ac:dyDescent="0.25">
      <c r="A33" s="96">
        <v>5</v>
      </c>
      <c r="B33" s="97" t="s">
        <v>315</v>
      </c>
      <c r="C33" s="98">
        <v>21226</v>
      </c>
      <c r="D33" s="99"/>
      <c r="E33" s="97" t="s">
        <v>316</v>
      </c>
      <c r="F33" s="100">
        <v>4.03</v>
      </c>
      <c r="G33" s="98">
        <v>38261</v>
      </c>
      <c r="H33" s="99"/>
      <c r="I33" s="98"/>
      <c r="J33" s="99"/>
      <c r="K33" s="99"/>
      <c r="L33" s="141" t="s">
        <v>317</v>
      </c>
      <c r="M33" s="98" t="s">
        <v>278</v>
      </c>
      <c r="N33" s="99"/>
      <c r="O33" s="99"/>
      <c r="P33" s="100"/>
      <c r="Q33" s="98"/>
      <c r="R33" s="225">
        <v>4863269.666666667</v>
      </c>
      <c r="S33" s="99" t="s">
        <v>318</v>
      </c>
      <c r="T33" s="99"/>
      <c r="U33" s="98">
        <v>42248</v>
      </c>
      <c r="V33" s="82" t="s">
        <v>366</v>
      </c>
      <c r="W33" s="203">
        <v>108207750</v>
      </c>
      <c r="X33" s="85">
        <v>34042888</v>
      </c>
      <c r="Y33" s="103">
        <v>24316348</v>
      </c>
      <c r="Z33" s="87">
        <v>49848514</v>
      </c>
      <c r="AA33" s="104" t="s">
        <v>388</v>
      </c>
    </row>
    <row r="34" spans="1:27" ht="53.25" customHeight="1" x14ac:dyDescent="0.25">
      <c r="A34" s="79">
        <v>6</v>
      </c>
      <c r="B34" s="80" t="s">
        <v>329</v>
      </c>
      <c r="C34" s="81">
        <v>21468</v>
      </c>
      <c r="D34" s="82" t="s">
        <v>145</v>
      </c>
      <c r="E34" s="80" t="s">
        <v>330</v>
      </c>
      <c r="F34" s="83">
        <v>4.9800000000000004</v>
      </c>
      <c r="G34" s="81">
        <v>39234</v>
      </c>
      <c r="H34" s="82">
        <v>0.25</v>
      </c>
      <c r="I34" s="81">
        <v>40725</v>
      </c>
      <c r="J34" s="82"/>
      <c r="K34" s="82"/>
      <c r="L34" s="112" t="s">
        <v>332</v>
      </c>
      <c r="M34" s="82" t="s">
        <v>331</v>
      </c>
      <c r="N34" s="82"/>
      <c r="O34" s="82"/>
      <c r="P34" s="83"/>
      <c r="Q34" s="81"/>
      <c r="R34" s="226">
        <v>5700222.9000000004</v>
      </c>
      <c r="S34" s="82" t="s">
        <v>336</v>
      </c>
      <c r="T34" s="114"/>
      <c r="U34" s="81">
        <v>42309</v>
      </c>
      <c r="V34" s="82" t="s">
        <v>259</v>
      </c>
      <c r="W34" s="206">
        <v>129680071</v>
      </c>
      <c r="X34" s="85">
        <v>51302006</v>
      </c>
      <c r="Y34" s="85">
        <v>28501115</v>
      </c>
      <c r="Z34" s="87">
        <v>49876950</v>
      </c>
      <c r="AA34" s="104" t="s">
        <v>357</v>
      </c>
    </row>
    <row r="35" spans="1:27" ht="57" customHeight="1" x14ac:dyDescent="0.25">
      <c r="A35" s="96">
        <v>7</v>
      </c>
      <c r="B35" s="97" t="s">
        <v>333</v>
      </c>
      <c r="C35" s="98">
        <v>21914</v>
      </c>
      <c r="D35" s="99"/>
      <c r="E35" s="97" t="s">
        <v>334</v>
      </c>
      <c r="F35" s="100">
        <v>4.0599999999999996</v>
      </c>
      <c r="G35" s="98">
        <v>38261</v>
      </c>
      <c r="H35" s="99"/>
      <c r="I35" s="98"/>
      <c r="J35" s="99"/>
      <c r="K35" s="99"/>
      <c r="L35" s="141" t="s">
        <v>335</v>
      </c>
      <c r="M35" s="98" t="s">
        <v>331</v>
      </c>
      <c r="N35" s="99"/>
      <c r="O35" s="99"/>
      <c r="P35" s="100"/>
      <c r="Q35" s="98"/>
      <c r="R35" s="225">
        <v>4785454.3333333321</v>
      </c>
      <c r="S35" s="99" t="s">
        <v>336</v>
      </c>
      <c r="T35" s="99"/>
      <c r="U35" s="98">
        <v>42339</v>
      </c>
      <c r="V35" s="99" t="s">
        <v>368</v>
      </c>
      <c r="W35" s="203">
        <v>128010903</v>
      </c>
      <c r="X35" s="103">
        <v>62210906</v>
      </c>
      <c r="Y35" s="103">
        <v>23927272</v>
      </c>
      <c r="Z35" s="102">
        <v>41872725</v>
      </c>
      <c r="AA35" s="104" t="s">
        <v>356</v>
      </c>
    </row>
    <row r="36" spans="1:27" ht="57" customHeight="1" x14ac:dyDescent="0.25">
      <c r="A36" s="79">
        <v>8</v>
      </c>
      <c r="B36" s="80" t="s">
        <v>337</v>
      </c>
      <c r="C36" s="81">
        <v>21695</v>
      </c>
      <c r="D36" s="140"/>
      <c r="E36" s="80" t="s">
        <v>338</v>
      </c>
      <c r="F36" s="83">
        <v>4.0599999999999996</v>
      </c>
      <c r="G36" s="81">
        <v>39387</v>
      </c>
      <c r="H36" s="82"/>
      <c r="I36" s="81"/>
      <c r="J36" s="82"/>
      <c r="K36" s="82"/>
      <c r="L36" s="112" t="s">
        <v>340</v>
      </c>
      <c r="M36" s="82" t="s">
        <v>339</v>
      </c>
      <c r="N36" s="82"/>
      <c r="O36" s="82"/>
      <c r="P36" s="83"/>
      <c r="Q36" s="81"/>
      <c r="R36" s="226">
        <v>4415669.5333333332</v>
      </c>
      <c r="S36" s="82" t="s">
        <v>341</v>
      </c>
      <c r="T36" s="99"/>
      <c r="U36" s="81">
        <v>42248</v>
      </c>
      <c r="V36" s="82" t="s">
        <v>369</v>
      </c>
      <c r="W36" s="206">
        <v>86105556</v>
      </c>
      <c r="X36" s="85">
        <v>48572365</v>
      </c>
      <c r="Y36" s="85">
        <v>22078348</v>
      </c>
      <c r="Z36" s="87">
        <v>15454843</v>
      </c>
      <c r="AA36" s="104" t="s">
        <v>356</v>
      </c>
    </row>
    <row r="37" spans="1:27" ht="59.25" customHeight="1" x14ac:dyDescent="0.25">
      <c r="A37" s="79">
        <v>9</v>
      </c>
      <c r="B37" s="80" t="s">
        <v>342</v>
      </c>
      <c r="C37" s="81">
        <v>22909</v>
      </c>
      <c r="D37" s="82" t="s">
        <v>151</v>
      </c>
      <c r="E37" s="80" t="s">
        <v>343</v>
      </c>
      <c r="F37" s="83">
        <v>4.9800000000000004</v>
      </c>
      <c r="G37" s="81">
        <v>38687</v>
      </c>
      <c r="H37" s="82"/>
      <c r="I37" s="81"/>
      <c r="J37" s="82"/>
      <c r="K37" s="82"/>
      <c r="L37" s="112" t="s">
        <v>340</v>
      </c>
      <c r="M37" s="82" t="s">
        <v>344</v>
      </c>
      <c r="N37" s="82"/>
      <c r="O37" s="82"/>
      <c r="P37" s="83"/>
      <c r="Q37" s="81"/>
      <c r="R37" s="226">
        <v>5462321.2999999998</v>
      </c>
      <c r="S37" s="82" t="s">
        <v>345</v>
      </c>
      <c r="T37" s="99"/>
      <c r="U37" s="81">
        <v>42248</v>
      </c>
      <c r="V37" s="82" t="s">
        <v>370</v>
      </c>
      <c r="W37" s="206">
        <v>95590623</v>
      </c>
      <c r="X37" s="85">
        <v>38236249</v>
      </c>
      <c r="Y37" s="85">
        <v>27311607</v>
      </c>
      <c r="Z37" s="87">
        <v>30042767</v>
      </c>
      <c r="AA37" s="104" t="s">
        <v>356</v>
      </c>
    </row>
    <row r="38" spans="1:27" ht="55.5" customHeight="1" x14ac:dyDescent="0.25">
      <c r="A38" s="79">
        <v>10</v>
      </c>
      <c r="B38" s="80" t="s">
        <v>346</v>
      </c>
      <c r="C38" s="81">
        <v>23590</v>
      </c>
      <c r="D38" s="82"/>
      <c r="E38" s="80" t="s">
        <v>347</v>
      </c>
      <c r="F38" s="83">
        <v>3.48</v>
      </c>
      <c r="G38" s="81"/>
      <c r="H38" s="112"/>
      <c r="I38" s="81"/>
      <c r="J38" s="82"/>
      <c r="K38" s="82"/>
      <c r="L38" s="112" t="s">
        <v>349</v>
      </c>
      <c r="M38" s="82" t="s">
        <v>348</v>
      </c>
      <c r="N38" s="82"/>
      <c r="O38" s="82"/>
      <c r="P38" s="83"/>
      <c r="Q38" s="81"/>
      <c r="R38" s="226">
        <v>4322276</v>
      </c>
      <c r="S38" s="82" t="s">
        <v>350</v>
      </c>
      <c r="T38" s="114"/>
      <c r="U38" s="81">
        <v>42339</v>
      </c>
      <c r="V38" s="82" t="s">
        <v>371</v>
      </c>
      <c r="W38" s="206">
        <v>97251210</v>
      </c>
      <c r="X38" s="85">
        <v>47545036</v>
      </c>
      <c r="Y38" s="85">
        <v>21611380</v>
      </c>
      <c r="Z38" s="87">
        <v>28094794</v>
      </c>
      <c r="AA38" s="88" t="s">
        <v>358</v>
      </c>
    </row>
    <row r="39" spans="1:27" ht="48" customHeight="1" x14ac:dyDescent="0.25">
      <c r="A39" s="96">
        <v>11</v>
      </c>
      <c r="B39" s="97" t="s">
        <v>351</v>
      </c>
      <c r="C39" s="98">
        <v>21914</v>
      </c>
      <c r="D39" s="99"/>
      <c r="E39" s="97" t="s">
        <v>352</v>
      </c>
      <c r="F39" s="100">
        <v>4.03</v>
      </c>
      <c r="G39" s="98">
        <v>38261</v>
      </c>
      <c r="H39" s="141"/>
      <c r="I39" s="98"/>
      <c r="J39" s="99"/>
      <c r="K39" s="99"/>
      <c r="L39" s="112" t="s">
        <v>354</v>
      </c>
      <c r="M39" s="82" t="s">
        <v>353</v>
      </c>
      <c r="N39" s="99"/>
      <c r="O39" s="99"/>
      <c r="P39" s="100"/>
      <c r="Q39" s="98"/>
      <c r="R39" s="225">
        <v>5175163.3166666664</v>
      </c>
      <c r="S39" s="99" t="s">
        <v>336</v>
      </c>
      <c r="T39" s="142"/>
      <c r="U39" s="98">
        <v>42248</v>
      </c>
      <c r="V39" s="99" t="s">
        <v>247</v>
      </c>
      <c r="W39" s="203">
        <v>138435619</v>
      </c>
      <c r="X39" s="103">
        <v>67277123</v>
      </c>
      <c r="Y39" s="103">
        <v>25875817</v>
      </c>
      <c r="Z39" s="102">
        <v>45282679</v>
      </c>
      <c r="AA39" s="88" t="s">
        <v>358</v>
      </c>
    </row>
    <row r="40" spans="1:27" ht="20.25" customHeight="1" thickBot="1" x14ac:dyDescent="0.3">
      <c r="A40" s="105"/>
      <c r="B40" s="115" t="s">
        <v>38</v>
      </c>
      <c r="C40" s="115" t="s">
        <v>372</v>
      </c>
      <c r="D40" s="107"/>
      <c r="E40" s="214"/>
      <c r="F40" s="107"/>
      <c r="G40" s="107"/>
      <c r="H40" s="107"/>
      <c r="I40" s="107"/>
      <c r="J40" s="107"/>
      <c r="K40" s="107"/>
      <c r="L40" s="107"/>
      <c r="M40" s="107"/>
      <c r="N40" s="107"/>
      <c r="O40" s="107"/>
      <c r="P40" s="107"/>
      <c r="Q40" s="107"/>
      <c r="R40" s="107"/>
      <c r="S40" s="107"/>
      <c r="T40" s="107"/>
      <c r="U40" s="107"/>
      <c r="V40" s="107"/>
      <c r="W40" s="200">
        <f>SUM(W12:W27,W29:W39)</f>
        <v>2215842515</v>
      </c>
      <c r="X40" s="201">
        <f>SUM(X12:X27,X29:X39)</f>
        <v>1045372564</v>
      </c>
      <c r="Y40" s="201">
        <f>SUM(Y12:Y27,Y29:Y39)</f>
        <v>495849195</v>
      </c>
      <c r="Z40" s="201">
        <f>SUM(Z12:Z27,Z29:Z39)</f>
        <v>674620756</v>
      </c>
      <c r="AA40" s="111"/>
    </row>
    <row r="41" spans="1:27" x14ac:dyDescent="0.25">
      <c r="A41" s="116"/>
    </row>
    <row r="42" spans="1:27" ht="21" hidden="1" customHeight="1" x14ac:dyDescent="0.25">
      <c r="A42" s="118"/>
      <c r="B42" s="119"/>
      <c r="W42" s="675" t="s">
        <v>133</v>
      </c>
      <c r="X42" s="675"/>
      <c r="Y42" s="675"/>
      <c r="Z42" s="675"/>
      <c r="AA42" s="675"/>
    </row>
    <row r="43" spans="1:27" hidden="1" x14ac:dyDescent="0.25">
      <c r="A43" s="120" t="s">
        <v>39</v>
      </c>
      <c r="B43" s="121"/>
      <c r="W43" s="671" t="s">
        <v>131</v>
      </c>
      <c r="X43" s="671"/>
      <c r="Y43" s="671"/>
      <c r="Z43" s="671"/>
      <c r="AA43" s="671"/>
    </row>
    <row r="44" spans="1:27" hidden="1" x14ac:dyDescent="0.25">
      <c r="A44" s="116" t="s">
        <v>40</v>
      </c>
      <c r="B44" s="122"/>
    </row>
    <row r="45" spans="1:27" hidden="1" x14ac:dyDescent="0.25">
      <c r="A45" s="116" t="s">
        <v>41</v>
      </c>
      <c r="B45" s="123"/>
    </row>
    <row r="46" spans="1:27" hidden="1" x14ac:dyDescent="0.25">
      <c r="A46" s="116"/>
      <c r="B46" s="123"/>
    </row>
    <row r="47" spans="1:27" hidden="1" x14ac:dyDescent="0.25">
      <c r="A47" s="124"/>
    </row>
    <row r="48" spans="1:27" hidden="1" x14ac:dyDescent="0.25">
      <c r="A48" s="116"/>
    </row>
    <row r="49" spans="1:27" hidden="1" x14ac:dyDescent="0.25">
      <c r="A49" s="124"/>
      <c r="W49" s="671" t="s">
        <v>132</v>
      </c>
      <c r="X49" s="671"/>
      <c r="Y49" s="671"/>
      <c r="Z49" s="671"/>
      <c r="AA49" s="671"/>
    </row>
    <row r="50" spans="1:27" hidden="1" x14ac:dyDescent="0.25">
      <c r="A50" s="124" t="s">
        <v>42</v>
      </c>
    </row>
    <row r="51" spans="1:27" hidden="1" x14ac:dyDescent="0.25">
      <c r="A51" s="116" t="s">
        <v>43</v>
      </c>
    </row>
    <row r="52" spans="1:27" s="117" customFormat="1" ht="12" hidden="1" x14ac:dyDescent="0.2">
      <c r="A52" s="116" t="s">
        <v>44</v>
      </c>
      <c r="E52" s="210"/>
      <c r="W52" s="187"/>
    </row>
    <row r="53" spans="1:27" s="117" customFormat="1" ht="12" hidden="1" x14ac:dyDescent="0.2">
      <c r="A53" s="116" t="s">
        <v>45</v>
      </c>
      <c r="E53" s="210"/>
      <c r="W53" s="187"/>
    </row>
    <row r="54" spans="1:27" s="117" customFormat="1" ht="12" hidden="1" x14ac:dyDescent="0.2">
      <c r="A54" s="116" t="s">
        <v>46</v>
      </c>
      <c r="E54" s="210"/>
      <c r="W54" s="187"/>
    </row>
    <row r="55" spans="1:27" s="117" customFormat="1" ht="12" hidden="1" x14ac:dyDescent="0.2">
      <c r="A55" s="116" t="s">
        <v>47</v>
      </c>
      <c r="E55" s="210"/>
      <c r="W55" s="187"/>
    </row>
    <row r="56" spans="1:27" s="117" customFormat="1" ht="12" hidden="1" x14ac:dyDescent="0.2">
      <c r="A56" s="116" t="s">
        <v>48</v>
      </c>
      <c r="E56" s="210"/>
      <c r="W56" s="187"/>
    </row>
    <row r="57" spans="1:27" s="117" customFormat="1" ht="12" hidden="1" x14ac:dyDescent="0.2">
      <c r="A57" s="116" t="s">
        <v>49</v>
      </c>
      <c r="E57" s="210"/>
      <c r="W57" s="187"/>
    </row>
    <row r="58" spans="1:27" s="117" customFormat="1" ht="12" hidden="1" x14ac:dyDescent="0.2">
      <c r="E58" s="210"/>
      <c r="W58" s="187"/>
    </row>
  </sheetData>
  <mergeCells count="31">
    <mergeCell ref="W43:AA43"/>
    <mergeCell ref="W49:AA49"/>
    <mergeCell ref="V7:V8"/>
    <mergeCell ref="W7:Z7"/>
    <mergeCell ref="AA7:AA8"/>
    <mergeCell ref="W23:Z23"/>
    <mergeCell ref="W42:AA42"/>
    <mergeCell ref="W25:Z25"/>
    <mergeCell ref="A1:C1"/>
    <mergeCell ref="W1:AA1"/>
    <mergeCell ref="A4:AA4"/>
    <mergeCell ref="A5:AA5"/>
    <mergeCell ref="X2:AA2"/>
    <mergeCell ref="X3:AA3"/>
    <mergeCell ref="A3:D3"/>
    <mergeCell ref="A2:D2"/>
    <mergeCell ref="D7:D8"/>
    <mergeCell ref="E7:E8"/>
    <mergeCell ref="F7:G7"/>
    <mergeCell ref="H7:I7"/>
    <mergeCell ref="A6:AA6"/>
    <mergeCell ref="A7:A8"/>
    <mergeCell ref="B7:B8"/>
    <mergeCell ref="C7:C8"/>
    <mergeCell ref="S7:T7"/>
    <mergeCell ref="R7:R8"/>
    <mergeCell ref="J7:K7"/>
    <mergeCell ref="L7:M7"/>
    <mergeCell ref="N7:O7"/>
    <mergeCell ref="P7:Q7"/>
    <mergeCell ref="U7:U8"/>
  </mergeCells>
  <phoneticPr fontId="22" type="noConversion"/>
  <pageMargins left="0.16" right="0.16" top="0.31" bottom="0.16" header="0.31" footer="0.16"/>
  <pageSetup paperSize="9" scale="73" orientation="landscape"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N84"/>
  <sheetViews>
    <sheetView topLeftCell="J10" zoomScale="130" zoomScaleNormal="130" workbookViewId="0">
      <selection activeCell="M12" sqref="M12:O12"/>
    </sheetView>
  </sheetViews>
  <sheetFormatPr defaultRowHeight="15" x14ac:dyDescent="0.25"/>
  <cols>
    <col min="1" max="1" width="3.42578125" customWidth="1"/>
    <col min="2" max="2" width="11.28515625" customWidth="1"/>
    <col min="3" max="3" width="6.85546875" customWidth="1"/>
    <col min="4" max="4" width="4.28515625" customWidth="1"/>
    <col min="5" max="5" width="14.140625" customWidth="1"/>
    <col min="6" max="6" width="3" customWidth="1"/>
    <col min="7" max="7" width="6.42578125" customWidth="1"/>
    <col min="8" max="8" width="2.85546875" customWidth="1"/>
    <col min="9" max="9" width="6.7109375" customWidth="1"/>
    <col min="10" max="10" width="3.42578125" customWidth="1"/>
    <col min="11" max="11" width="6.7109375" customWidth="1"/>
    <col min="12" max="12" width="3.7109375" customWidth="1"/>
    <col min="13" max="13" width="6.5703125" customWidth="1"/>
    <col min="14" max="14" width="3.85546875" customWidth="1"/>
    <col min="15" max="15" width="7.140625" customWidth="1"/>
    <col min="16" max="16" width="3.42578125" customWidth="1"/>
    <col min="17" max="17" width="7" customWidth="1"/>
    <col min="18" max="19" width="7" hidden="1" customWidth="1"/>
    <col min="20" max="20" width="3.7109375" hidden="1" customWidth="1"/>
    <col min="21" max="21" width="3.5703125" hidden="1" customWidth="1"/>
    <col min="22" max="22" width="3.42578125" hidden="1" customWidth="1"/>
    <col min="23" max="23" width="3.28515625" hidden="1" customWidth="1"/>
    <col min="24" max="24" width="3" hidden="1" customWidth="1"/>
    <col min="25" max="25" width="3.42578125" hidden="1" customWidth="1"/>
    <col min="26" max="26" width="6.85546875" hidden="1" customWidth="1"/>
    <col min="27" max="27" width="8.140625" hidden="1" customWidth="1"/>
    <col min="28" max="28" width="7" customWidth="1"/>
    <col min="29" max="29" width="8.7109375" customWidth="1"/>
    <col min="30" max="30" width="4.7109375" customWidth="1"/>
    <col min="31" max="31" width="8" customWidth="1"/>
    <col min="32" max="32" width="8.5703125" customWidth="1"/>
    <col min="33" max="35" width="9.140625" hidden="1" customWidth="1"/>
    <col min="36" max="36" width="7.140625" customWidth="1"/>
    <col min="37" max="37" width="11.7109375" style="187" customWidth="1"/>
    <col min="38" max="38" width="9.28515625" customWidth="1"/>
    <col min="39" max="39" width="10.85546875" customWidth="1"/>
    <col min="40" max="40" width="21.140625" customWidth="1"/>
  </cols>
  <sheetData>
    <row r="1" spans="1:40" ht="12" customHeight="1" x14ac:dyDescent="0.25">
      <c r="A1" s="666"/>
      <c r="B1" s="666"/>
      <c r="C1" s="666"/>
      <c r="D1" s="666"/>
      <c r="E1" s="136"/>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667" t="s">
        <v>238</v>
      </c>
      <c r="AL1" s="667"/>
      <c r="AM1" s="667"/>
      <c r="AN1" s="667"/>
    </row>
    <row r="2" spans="1:40" ht="12" customHeight="1" x14ac:dyDescent="0.25">
      <c r="A2" s="666" t="s">
        <v>328</v>
      </c>
      <c r="B2" s="666"/>
      <c r="C2" s="666"/>
      <c r="D2" s="666"/>
      <c r="E2" s="136"/>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666" t="s">
        <v>383</v>
      </c>
      <c r="AL2" s="666"/>
      <c r="AM2" s="666"/>
      <c r="AN2" s="666"/>
    </row>
    <row r="3" spans="1:40" ht="12" customHeight="1" x14ac:dyDescent="0.25">
      <c r="A3" s="670" t="s">
        <v>135</v>
      </c>
      <c r="B3" s="670"/>
      <c r="C3" s="670"/>
      <c r="D3" s="670"/>
      <c r="E3" s="136"/>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670" t="s">
        <v>384</v>
      </c>
      <c r="AL3" s="670"/>
      <c r="AM3" s="670"/>
      <c r="AN3" s="670"/>
    </row>
    <row r="4" spans="1:40" s="127" customFormat="1" ht="15.75" x14ac:dyDescent="0.25">
      <c r="A4" s="652" t="s">
        <v>236</v>
      </c>
      <c r="B4" s="652"/>
      <c r="C4" s="652"/>
      <c r="D4" s="652"/>
      <c r="E4" s="652"/>
      <c r="F4" s="652"/>
      <c r="G4" s="652"/>
      <c r="H4" s="652"/>
      <c r="I4" s="652"/>
      <c r="J4" s="652"/>
      <c r="K4" s="652"/>
      <c r="L4" s="652"/>
      <c r="M4" s="652"/>
      <c r="N4" s="652"/>
      <c r="O4" s="652"/>
      <c r="P4" s="652"/>
      <c r="Q4" s="652"/>
      <c r="R4" s="652"/>
      <c r="S4" s="652"/>
      <c r="T4" s="652"/>
      <c r="U4" s="652"/>
      <c r="V4" s="652"/>
      <c r="W4" s="652"/>
      <c r="X4" s="652"/>
      <c r="Y4" s="652"/>
      <c r="Z4" s="652"/>
      <c r="AA4" s="652"/>
      <c r="AB4" s="652"/>
      <c r="AC4" s="652"/>
      <c r="AD4" s="652"/>
      <c r="AE4" s="652"/>
      <c r="AF4" s="652"/>
      <c r="AG4" s="652"/>
      <c r="AH4" s="652"/>
      <c r="AI4" s="652"/>
      <c r="AJ4" s="652"/>
      <c r="AK4" s="652"/>
      <c r="AL4" s="652"/>
      <c r="AM4" s="652"/>
      <c r="AN4" s="652"/>
    </row>
    <row r="5" spans="1:40" s="128" customFormat="1" ht="15.75" x14ac:dyDescent="0.25">
      <c r="A5" s="669" t="s">
        <v>235</v>
      </c>
      <c r="B5" s="669"/>
      <c r="C5" s="669"/>
      <c r="D5" s="669"/>
      <c r="E5" s="669"/>
      <c r="F5" s="669"/>
      <c r="G5" s="669"/>
      <c r="H5" s="669"/>
      <c r="I5" s="669"/>
      <c r="J5" s="669"/>
      <c r="K5" s="669"/>
      <c r="L5" s="669"/>
      <c r="M5" s="669"/>
      <c r="N5" s="669"/>
      <c r="O5" s="669"/>
      <c r="P5" s="669"/>
      <c r="Q5" s="669"/>
      <c r="R5" s="669"/>
      <c r="S5" s="669"/>
      <c r="T5" s="669"/>
      <c r="U5" s="669"/>
      <c r="V5" s="669"/>
      <c r="W5" s="669"/>
      <c r="X5" s="669"/>
      <c r="Y5" s="669"/>
      <c r="Z5" s="669"/>
      <c r="AA5" s="669"/>
      <c r="AB5" s="669"/>
      <c r="AC5" s="669"/>
      <c r="AD5" s="669"/>
      <c r="AE5" s="669"/>
      <c r="AF5" s="669"/>
      <c r="AG5" s="669"/>
      <c r="AH5" s="669"/>
      <c r="AI5" s="669"/>
      <c r="AJ5" s="669"/>
      <c r="AK5" s="669"/>
      <c r="AL5" s="669"/>
      <c r="AM5" s="669"/>
      <c r="AN5" s="669"/>
    </row>
    <row r="6" spans="1:40" s="125" customFormat="1" ht="15.75" customHeight="1" thickBot="1" x14ac:dyDescent="0.25">
      <c r="A6" s="662" t="s">
        <v>385</v>
      </c>
      <c r="B6" s="662"/>
      <c r="C6" s="662"/>
      <c r="D6" s="662"/>
      <c r="E6" s="662"/>
      <c r="F6" s="662"/>
      <c r="G6" s="662"/>
      <c r="H6" s="662"/>
      <c r="I6" s="662"/>
      <c r="J6" s="662"/>
      <c r="K6" s="662"/>
      <c r="L6" s="662"/>
      <c r="M6" s="662"/>
      <c r="N6" s="662"/>
      <c r="O6" s="662"/>
      <c r="P6" s="662"/>
      <c r="Q6" s="662"/>
      <c r="R6" s="662"/>
      <c r="S6" s="662"/>
      <c r="T6" s="662"/>
      <c r="U6" s="662"/>
      <c r="V6" s="662"/>
      <c r="W6" s="662"/>
      <c r="X6" s="662"/>
      <c r="Y6" s="662"/>
      <c r="Z6" s="662"/>
      <c r="AA6" s="662"/>
      <c r="AB6" s="662"/>
      <c r="AC6" s="662"/>
      <c r="AD6" s="662"/>
      <c r="AE6" s="662"/>
      <c r="AF6" s="662"/>
      <c r="AG6" s="662"/>
      <c r="AH6" s="662"/>
      <c r="AI6" s="662"/>
      <c r="AJ6" s="662"/>
      <c r="AK6" s="662"/>
      <c r="AL6" s="662"/>
      <c r="AM6" s="662"/>
      <c r="AN6" s="662"/>
    </row>
    <row r="7" spans="1:40" ht="39" customHeight="1" x14ac:dyDescent="0.25">
      <c r="A7" s="663" t="s">
        <v>173</v>
      </c>
      <c r="B7" s="659" t="s">
        <v>4</v>
      </c>
      <c r="C7" s="659" t="s">
        <v>5</v>
      </c>
      <c r="D7" s="657" t="s">
        <v>6</v>
      </c>
      <c r="E7" s="659" t="s">
        <v>7</v>
      </c>
      <c r="F7" s="661" t="s">
        <v>8</v>
      </c>
      <c r="G7" s="661"/>
      <c r="H7" s="661" t="s">
        <v>175</v>
      </c>
      <c r="I7" s="661"/>
      <c r="J7" s="661" t="s">
        <v>176</v>
      </c>
      <c r="K7" s="661"/>
      <c r="L7" s="661" t="s">
        <v>177</v>
      </c>
      <c r="M7" s="661"/>
      <c r="N7" s="661" t="s">
        <v>178</v>
      </c>
      <c r="O7" s="661"/>
      <c r="P7" s="661" t="s">
        <v>13</v>
      </c>
      <c r="Q7" s="661"/>
      <c r="R7" s="680" t="s">
        <v>83</v>
      </c>
      <c r="S7" s="680"/>
      <c r="T7" s="680"/>
      <c r="U7" s="680"/>
      <c r="V7" s="680"/>
      <c r="W7" s="680"/>
      <c r="X7" s="680"/>
      <c r="Y7" s="680"/>
      <c r="Z7" s="680"/>
      <c r="AA7" s="680"/>
      <c r="AB7" s="661" t="s">
        <v>98</v>
      </c>
      <c r="AC7" s="661" t="s">
        <v>99</v>
      </c>
      <c r="AD7" s="661" t="s">
        <v>14</v>
      </c>
      <c r="AE7" s="661"/>
      <c r="AF7" s="661" t="s">
        <v>15</v>
      </c>
      <c r="AG7" s="680" t="s">
        <v>16</v>
      </c>
      <c r="AH7" s="680"/>
      <c r="AI7" s="680"/>
      <c r="AJ7" s="661" t="s">
        <v>16</v>
      </c>
      <c r="AK7" s="661" t="s">
        <v>95</v>
      </c>
      <c r="AL7" s="661"/>
      <c r="AM7" s="661"/>
      <c r="AN7" s="672" t="s">
        <v>17</v>
      </c>
    </row>
    <row r="8" spans="1:40" ht="81" x14ac:dyDescent="0.25">
      <c r="A8" s="676"/>
      <c r="B8" s="677"/>
      <c r="C8" s="677"/>
      <c r="D8" s="678"/>
      <c r="E8" s="677"/>
      <c r="F8" s="183" t="s">
        <v>18</v>
      </c>
      <c r="G8" s="184" t="s">
        <v>19</v>
      </c>
      <c r="H8" s="184" t="s">
        <v>20</v>
      </c>
      <c r="I8" s="184" t="s">
        <v>19</v>
      </c>
      <c r="J8" s="183" t="s">
        <v>21</v>
      </c>
      <c r="K8" s="184" t="s">
        <v>19</v>
      </c>
      <c r="L8" s="183" t="s">
        <v>21</v>
      </c>
      <c r="M8" s="184" t="s">
        <v>19</v>
      </c>
      <c r="N8" s="184" t="s">
        <v>20</v>
      </c>
      <c r="O8" s="184" t="s">
        <v>19</v>
      </c>
      <c r="P8" s="184" t="s">
        <v>20</v>
      </c>
      <c r="Q8" s="184" t="s">
        <v>19</v>
      </c>
      <c r="R8" s="185" t="s">
        <v>84</v>
      </c>
      <c r="S8" s="185" t="s">
        <v>85</v>
      </c>
      <c r="T8" s="186" t="s">
        <v>86</v>
      </c>
      <c r="U8" s="186" t="s">
        <v>20</v>
      </c>
      <c r="V8" s="186" t="s">
        <v>87</v>
      </c>
      <c r="W8" s="186" t="s">
        <v>91</v>
      </c>
      <c r="X8" s="186" t="s">
        <v>92</v>
      </c>
      <c r="Y8" s="186" t="s">
        <v>90</v>
      </c>
      <c r="Z8" s="185" t="s">
        <v>88</v>
      </c>
      <c r="AA8" s="185" t="s">
        <v>89</v>
      </c>
      <c r="AB8" s="679"/>
      <c r="AC8" s="679"/>
      <c r="AD8" s="184" t="s">
        <v>22</v>
      </c>
      <c r="AE8" s="184" t="s">
        <v>23</v>
      </c>
      <c r="AF8" s="679"/>
      <c r="AG8" s="185" t="s">
        <v>138</v>
      </c>
      <c r="AH8" s="185" t="s">
        <v>139</v>
      </c>
      <c r="AI8" s="185" t="s">
        <v>140</v>
      </c>
      <c r="AJ8" s="679"/>
      <c r="AK8" s="188" t="s">
        <v>24</v>
      </c>
      <c r="AL8" s="184" t="s">
        <v>57</v>
      </c>
      <c r="AM8" s="184" t="s">
        <v>181</v>
      </c>
      <c r="AN8" s="681"/>
    </row>
    <row r="9" spans="1:40" x14ac:dyDescent="0.25">
      <c r="A9" s="156"/>
      <c r="B9" s="157" t="s">
        <v>28</v>
      </c>
      <c r="C9" s="157">
        <v>1</v>
      </c>
      <c r="D9" s="157">
        <v>2</v>
      </c>
      <c r="E9" s="157">
        <v>3</v>
      </c>
      <c r="F9" s="157">
        <v>4</v>
      </c>
      <c r="G9" s="157">
        <v>5</v>
      </c>
      <c r="H9" s="157">
        <v>6</v>
      </c>
      <c r="I9" s="157">
        <v>7</v>
      </c>
      <c r="J9" s="157">
        <v>8</v>
      </c>
      <c r="K9" s="157">
        <v>9</v>
      </c>
      <c r="L9" s="157">
        <v>10</v>
      </c>
      <c r="M9" s="157">
        <v>11</v>
      </c>
      <c r="N9" s="157">
        <v>12</v>
      </c>
      <c r="O9" s="157">
        <v>13</v>
      </c>
      <c r="P9" s="157">
        <v>14</v>
      </c>
      <c r="Q9" s="157">
        <v>15</v>
      </c>
      <c r="R9" s="157"/>
      <c r="S9" s="157"/>
      <c r="T9" s="157"/>
      <c r="U9" s="157"/>
      <c r="V9" s="157"/>
      <c r="W9" s="157"/>
      <c r="X9" s="157"/>
      <c r="Y9" s="157"/>
      <c r="Z9" s="157"/>
      <c r="AA9" s="157"/>
      <c r="AB9" s="157">
        <v>16</v>
      </c>
      <c r="AC9" s="157">
        <v>17</v>
      </c>
      <c r="AD9" s="157">
        <v>18</v>
      </c>
      <c r="AE9" s="157">
        <v>19</v>
      </c>
      <c r="AF9" s="157">
        <v>20</v>
      </c>
      <c r="AG9" s="157"/>
      <c r="AH9" s="157"/>
      <c r="AI9" s="157"/>
      <c r="AJ9" s="157">
        <v>21</v>
      </c>
      <c r="AK9" s="189">
        <v>22</v>
      </c>
      <c r="AL9" s="157">
        <v>23</v>
      </c>
      <c r="AM9" s="157">
        <v>24</v>
      </c>
      <c r="AN9" s="158">
        <v>25</v>
      </c>
    </row>
    <row r="10" spans="1:40" s="174" customFormat="1" ht="23.25" customHeight="1" x14ac:dyDescent="0.2">
      <c r="A10" s="169" t="s">
        <v>141</v>
      </c>
      <c r="B10" s="170" t="s">
        <v>30</v>
      </c>
      <c r="C10" s="170" t="s">
        <v>363</v>
      </c>
      <c r="D10" s="170"/>
      <c r="E10" s="171"/>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72"/>
      <c r="AD10" s="172"/>
      <c r="AE10" s="172"/>
      <c r="AF10" s="172"/>
      <c r="AG10" s="172"/>
      <c r="AH10" s="172"/>
      <c r="AI10" s="172"/>
      <c r="AJ10" s="172"/>
      <c r="AK10" s="190"/>
      <c r="AL10" s="172"/>
      <c r="AM10" s="172"/>
      <c r="AN10" s="173"/>
    </row>
    <row r="11" spans="1:40" ht="30" customHeight="1" x14ac:dyDescent="0.25">
      <c r="A11" s="96">
        <v>0</v>
      </c>
      <c r="B11" s="97" t="s">
        <v>174</v>
      </c>
      <c r="C11" s="98">
        <v>25833</v>
      </c>
      <c r="D11" s="99" t="s">
        <v>151</v>
      </c>
      <c r="E11" s="97" t="s">
        <v>224</v>
      </c>
      <c r="F11" s="100">
        <v>4.0599999999999996</v>
      </c>
      <c r="G11" s="98">
        <v>42005</v>
      </c>
      <c r="H11" s="99">
        <v>0.2</v>
      </c>
      <c r="I11" s="98">
        <v>41275</v>
      </c>
      <c r="J11" s="99"/>
      <c r="K11" s="99"/>
      <c r="L11" s="99"/>
      <c r="M11" s="99"/>
      <c r="N11" s="100"/>
      <c r="O11" s="98"/>
      <c r="P11" s="100" t="s">
        <v>284</v>
      </c>
      <c r="Q11" s="98" t="s">
        <v>288</v>
      </c>
      <c r="R11" s="98">
        <v>40483</v>
      </c>
      <c r="S11" s="98">
        <v>40543</v>
      </c>
      <c r="T11" s="99">
        <v>2</v>
      </c>
      <c r="U11" s="99">
        <v>3.46</v>
      </c>
      <c r="V11" s="99"/>
      <c r="W11" s="99"/>
      <c r="X11" s="99"/>
      <c r="Y11" s="100">
        <v>3.46</v>
      </c>
      <c r="Z11" s="101">
        <v>730000</v>
      </c>
      <c r="AA11" s="101">
        <v>5051600</v>
      </c>
      <c r="AB11" s="103">
        <v>4899000</v>
      </c>
      <c r="AC11" s="225">
        <v>4025773.3333333335</v>
      </c>
      <c r="AD11" s="99" t="s">
        <v>180</v>
      </c>
      <c r="AE11" s="99"/>
      <c r="AF11" s="98">
        <v>42309</v>
      </c>
      <c r="AG11" s="99">
        <v>45</v>
      </c>
      <c r="AH11" s="99">
        <v>1</v>
      </c>
      <c r="AI11" s="99">
        <v>10</v>
      </c>
      <c r="AJ11" s="99" t="s">
        <v>249</v>
      </c>
      <c r="AK11" s="191">
        <v>168682830</v>
      </c>
      <c r="AL11" s="103">
        <v>14697000</v>
      </c>
      <c r="AM11" s="103">
        <v>153985830</v>
      </c>
      <c r="AN11" s="104" t="s">
        <v>147</v>
      </c>
    </row>
    <row r="12" spans="1:40" hidden="1" x14ac:dyDescent="0.25">
      <c r="A12" s="79"/>
      <c r="B12" s="80"/>
      <c r="C12" s="81"/>
      <c r="D12" s="82"/>
      <c r="E12" s="80"/>
      <c r="F12" s="82"/>
      <c r="G12" s="82"/>
      <c r="H12" s="82"/>
      <c r="I12" s="82"/>
      <c r="J12" s="82"/>
      <c r="K12" s="82"/>
      <c r="L12" s="82"/>
      <c r="M12" s="82"/>
      <c r="N12" s="82"/>
      <c r="O12" s="81"/>
      <c r="P12" s="82"/>
      <c r="Q12" s="81"/>
      <c r="R12" s="81">
        <v>40544</v>
      </c>
      <c r="S12" s="81">
        <v>40663</v>
      </c>
      <c r="T12" s="82">
        <v>4</v>
      </c>
      <c r="U12" s="82">
        <v>3.66</v>
      </c>
      <c r="V12" s="82"/>
      <c r="W12" s="82"/>
      <c r="X12" s="82"/>
      <c r="Y12" s="83">
        <v>3.66</v>
      </c>
      <c r="Z12" s="84">
        <v>730000</v>
      </c>
      <c r="AA12" s="84">
        <v>10687200</v>
      </c>
      <c r="AB12" s="82"/>
      <c r="AC12" s="82"/>
      <c r="AD12" s="82"/>
      <c r="AE12" s="82"/>
      <c r="AF12" s="81"/>
      <c r="AG12" s="82"/>
      <c r="AH12" s="82"/>
      <c r="AI12" s="82"/>
      <c r="AJ12" s="82"/>
      <c r="AK12" s="192"/>
      <c r="AL12" s="82"/>
      <c r="AM12" s="85"/>
      <c r="AN12" s="88"/>
    </row>
    <row r="13" spans="1:40" hidden="1" x14ac:dyDescent="0.25">
      <c r="A13" s="79"/>
      <c r="B13" s="80"/>
      <c r="C13" s="82"/>
      <c r="D13" s="82"/>
      <c r="E13" s="80"/>
      <c r="F13" s="82"/>
      <c r="G13" s="82"/>
      <c r="H13" s="82"/>
      <c r="I13" s="82"/>
      <c r="J13" s="82"/>
      <c r="K13" s="82"/>
      <c r="L13" s="82"/>
      <c r="M13" s="82"/>
      <c r="N13" s="82"/>
      <c r="O13" s="81"/>
      <c r="P13" s="82"/>
      <c r="Q13" s="81"/>
      <c r="R13" s="81">
        <v>40664</v>
      </c>
      <c r="S13" s="81">
        <v>41029</v>
      </c>
      <c r="T13" s="82">
        <v>12</v>
      </c>
      <c r="U13" s="82">
        <v>3.66</v>
      </c>
      <c r="V13" s="82"/>
      <c r="W13" s="82"/>
      <c r="X13" s="82"/>
      <c r="Y13" s="83">
        <v>3.66</v>
      </c>
      <c r="Z13" s="84">
        <v>830000</v>
      </c>
      <c r="AA13" s="84">
        <v>36453600</v>
      </c>
      <c r="AB13" s="85"/>
      <c r="AC13" s="85"/>
      <c r="AD13" s="82"/>
      <c r="AE13" s="82"/>
      <c r="AF13" s="82"/>
      <c r="AG13" s="82"/>
      <c r="AH13" s="82"/>
      <c r="AI13" s="82"/>
      <c r="AJ13" s="82"/>
      <c r="AK13" s="192"/>
      <c r="AL13" s="82"/>
      <c r="AM13" s="82"/>
      <c r="AN13" s="88"/>
    </row>
    <row r="14" spans="1:40" hidden="1" x14ac:dyDescent="0.25">
      <c r="A14" s="79"/>
      <c r="B14" s="80"/>
      <c r="C14" s="82"/>
      <c r="D14" s="82"/>
      <c r="E14" s="80"/>
      <c r="F14" s="82"/>
      <c r="G14" s="82"/>
      <c r="H14" s="82"/>
      <c r="I14" s="82"/>
      <c r="J14" s="82"/>
      <c r="K14" s="82"/>
      <c r="L14" s="82"/>
      <c r="M14" s="82"/>
      <c r="N14" s="82"/>
      <c r="O14" s="81"/>
      <c r="P14" s="82"/>
      <c r="Q14" s="81"/>
      <c r="R14" s="81">
        <v>41030</v>
      </c>
      <c r="S14" s="81">
        <v>41274</v>
      </c>
      <c r="T14" s="82">
        <v>8</v>
      </c>
      <c r="U14" s="82">
        <v>3.66</v>
      </c>
      <c r="V14" s="82"/>
      <c r="W14" s="82"/>
      <c r="X14" s="82"/>
      <c r="Y14" s="83">
        <v>3.66</v>
      </c>
      <c r="Z14" s="84">
        <v>1050000</v>
      </c>
      <c r="AA14" s="84">
        <v>30744000</v>
      </c>
      <c r="AB14" s="85"/>
      <c r="AC14" s="85"/>
      <c r="AD14" s="82"/>
      <c r="AE14" s="82"/>
      <c r="AF14" s="82"/>
      <c r="AG14" s="82"/>
      <c r="AH14" s="82"/>
      <c r="AI14" s="82"/>
      <c r="AJ14" s="82"/>
      <c r="AK14" s="192"/>
      <c r="AL14" s="82"/>
      <c r="AM14" s="82"/>
      <c r="AN14" s="88"/>
    </row>
    <row r="15" spans="1:40" hidden="1" x14ac:dyDescent="0.25">
      <c r="A15" s="79"/>
      <c r="B15" s="80"/>
      <c r="C15" s="82"/>
      <c r="D15" s="82"/>
      <c r="E15" s="80"/>
      <c r="F15" s="82"/>
      <c r="G15" s="82"/>
      <c r="H15" s="82"/>
      <c r="I15" s="82"/>
      <c r="J15" s="82"/>
      <c r="K15" s="82"/>
      <c r="L15" s="82"/>
      <c r="M15" s="82"/>
      <c r="N15" s="82"/>
      <c r="O15" s="81"/>
      <c r="P15" s="82"/>
      <c r="Q15" s="81"/>
      <c r="R15" s="81">
        <v>41275</v>
      </c>
      <c r="S15" s="81">
        <v>41455</v>
      </c>
      <c r="T15" s="82">
        <v>6</v>
      </c>
      <c r="U15" s="82">
        <v>3.86</v>
      </c>
      <c r="V15" s="82">
        <v>0.2</v>
      </c>
      <c r="W15" s="82"/>
      <c r="X15" s="82"/>
      <c r="Y15" s="83">
        <v>4.0599999999999996</v>
      </c>
      <c r="Z15" s="84">
        <v>1050000</v>
      </c>
      <c r="AA15" s="84">
        <v>25578000</v>
      </c>
      <c r="AB15" s="85"/>
      <c r="AC15" s="85"/>
      <c r="AD15" s="82"/>
      <c r="AE15" s="82"/>
      <c r="AF15" s="82"/>
      <c r="AG15" s="82"/>
      <c r="AH15" s="82"/>
      <c r="AI15" s="82"/>
      <c r="AJ15" s="82"/>
      <c r="AK15" s="192"/>
      <c r="AL15" s="82"/>
      <c r="AM15" s="82"/>
      <c r="AN15" s="88"/>
    </row>
    <row r="16" spans="1:40" hidden="1" x14ac:dyDescent="0.25">
      <c r="A16" s="79"/>
      <c r="B16" s="80"/>
      <c r="C16" s="82"/>
      <c r="D16" s="82"/>
      <c r="E16" s="80"/>
      <c r="F16" s="82"/>
      <c r="G16" s="82"/>
      <c r="H16" s="82"/>
      <c r="I16" s="82"/>
      <c r="J16" s="82"/>
      <c r="K16" s="82"/>
      <c r="L16" s="82"/>
      <c r="M16" s="82"/>
      <c r="N16" s="82"/>
      <c r="O16" s="81"/>
      <c r="P16" s="82"/>
      <c r="Q16" s="81"/>
      <c r="R16" s="81">
        <v>41456</v>
      </c>
      <c r="S16" s="81">
        <v>42004</v>
      </c>
      <c r="T16" s="82">
        <v>18</v>
      </c>
      <c r="U16" s="82">
        <v>3.86</v>
      </c>
      <c r="V16" s="82">
        <v>0.2</v>
      </c>
      <c r="W16" s="82"/>
      <c r="X16" s="82"/>
      <c r="Y16" s="83">
        <v>4.0599999999999996</v>
      </c>
      <c r="Z16" s="84">
        <v>1150000</v>
      </c>
      <c r="AA16" s="84">
        <v>84042000</v>
      </c>
      <c r="AB16" s="85"/>
      <c r="AC16" s="85"/>
      <c r="AD16" s="82"/>
      <c r="AE16" s="82"/>
      <c r="AF16" s="82"/>
      <c r="AG16" s="82"/>
      <c r="AH16" s="82"/>
      <c r="AI16" s="82"/>
      <c r="AJ16" s="82"/>
      <c r="AK16" s="192"/>
      <c r="AL16" s="82"/>
      <c r="AM16" s="82"/>
      <c r="AN16" s="88"/>
    </row>
    <row r="17" spans="1:40" hidden="1" x14ac:dyDescent="0.25">
      <c r="A17" s="79"/>
      <c r="B17" s="80"/>
      <c r="C17" s="82"/>
      <c r="D17" s="82"/>
      <c r="E17" s="80"/>
      <c r="F17" s="82"/>
      <c r="G17" s="82"/>
      <c r="H17" s="82"/>
      <c r="I17" s="82"/>
      <c r="J17" s="82"/>
      <c r="K17" s="82"/>
      <c r="L17" s="82"/>
      <c r="M17" s="82"/>
      <c r="N17" s="82"/>
      <c r="O17" s="81"/>
      <c r="P17" s="82"/>
      <c r="Q17" s="82"/>
      <c r="R17" s="81">
        <v>42005</v>
      </c>
      <c r="S17" s="81">
        <v>42308</v>
      </c>
      <c r="T17" s="82">
        <v>10</v>
      </c>
      <c r="U17" s="82">
        <v>4.0599999999999996</v>
      </c>
      <c r="V17" s="82">
        <v>0.2</v>
      </c>
      <c r="W17" s="82"/>
      <c r="X17" s="82"/>
      <c r="Y17" s="83">
        <v>4.26</v>
      </c>
      <c r="Z17" s="84">
        <v>1150000</v>
      </c>
      <c r="AA17" s="84">
        <v>48989999.999999993</v>
      </c>
      <c r="AB17" s="82"/>
      <c r="AC17" s="82"/>
      <c r="AD17" s="82"/>
      <c r="AE17" s="82"/>
      <c r="AF17" s="82"/>
      <c r="AG17" s="82"/>
      <c r="AH17" s="82"/>
      <c r="AI17" s="82"/>
      <c r="AJ17" s="82"/>
      <c r="AK17" s="192"/>
      <c r="AL17" s="82"/>
      <c r="AM17" s="82"/>
      <c r="AN17" s="88"/>
    </row>
    <row r="18" spans="1:40" hidden="1" x14ac:dyDescent="0.25">
      <c r="A18" s="89"/>
      <c r="B18" s="90"/>
      <c r="C18" s="91"/>
      <c r="D18" s="91"/>
      <c r="E18" s="90"/>
      <c r="F18" s="91"/>
      <c r="G18" s="91"/>
      <c r="H18" s="91"/>
      <c r="I18" s="91"/>
      <c r="J18" s="91"/>
      <c r="K18" s="91"/>
      <c r="L18" s="91"/>
      <c r="M18" s="91"/>
      <c r="N18" s="91"/>
      <c r="O18" s="92"/>
      <c r="P18" s="91"/>
      <c r="Q18" s="91"/>
      <c r="R18" s="92"/>
      <c r="S18" s="92"/>
      <c r="T18" s="91">
        <v>60</v>
      </c>
      <c r="U18" s="93"/>
      <c r="V18" s="92"/>
      <c r="W18" s="92"/>
      <c r="X18" s="92"/>
      <c r="Y18" s="93"/>
      <c r="Z18" s="94"/>
      <c r="AA18" s="94">
        <v>241546400</v>
      </c>
      <c r="AB18" s="91"/>
      <c r="AC18" s="91"/>
      <c r="AD18" s="91"/>
      <c r="AE18" s="91"/>
      <c r="AF18" s="91"/>
      <c r="AG18" s="91"/>
      <c r="AH18" s="91"/>
      <c r="AI18" s="91"/>
      <c r="AJ18" s="91"/>
      <c r="AK18" s="193"/>
      <c r="AL18" s="91"/>
      <c r="AM18" s="91"/>
      <c r="AN18" s="95"/>
    </row>
    <row r="19" spans="1:40" ht="27.75" customHeight="1" x14ac:dyDescent="0.25">
      <c r="A19" s="79">
        <v>2</v>
      </c>
      <c r="B19" s="80" t="s">
        <v>150</v>
      </c>
      <c r="C19" s="81">
        <v>23279</v>
      </c>
      <c r="D19" s="82" t="s">
        <v>145</v>
      </c>
      <c r="E19" s="80" t="s">
        <v>228</v>
      </c>
      <c r="F19" s="83">
        <v>5.42</v>
      </c>
      <c r="G19" s="81">
        <v>42005</v>
      </c>
      <c r="H19" s="82">
        <v>0.5</v>
      </c>
      <c r="I19" s="81">
        <v>39995</v>
      </c>
      <c r="J19" s="82"/>
      <c r="K19" s="82"/>
      <c r="L19" s="82"/>
      <c r="M19" s="82"/>
      <c r="N19" s="83"/>
      <c r="O19" s="81"/>
      <c r="P19" s="82" t="s">
        <v>289</v>
      </c>
      <c r="Q19" s="81" t="s">
        <v>290</v>
      </c>
      <c r="R19" s="81">
        <v>40422</v>
      </c>
      <c r="S19" s="81">
        <v>40663</v>
      </c>
      <c r="T19" s="82">
        <v>8</v>
      </c>
      <c r="U19" s="83">
        <v>4.74</v>
      </c>
      <c r="V19" s="82">
        <v>0.5</v>
      </c>
      <c r="W19" s="82"/>
      <c r="X19" s="82"/>
      <c r="Y19" s="83">
        <v>5.24</v>
      </c>
      <c r="Z19" s="84">
        <v>730000</v>
      </c>
      <c r="AA19" s="84">
        <v>30601600</v>
      </c>
      <c r="AB19" s="85">
        <v>6808000</v>
      </c>
      <c r="AC19" s="226">
        <v>5532200</v>
      </c>
      <c r="AD19" s="82" t="s">
        <v>159</v>
      </c>
      <c r="AE19" s="82"/>
      <c r="AF19" s="81">
        <v>42248</v>
      </c>
      <c r="AG19" s="82">
        <v>51</v>
      </c>
      <c r="AH19" s="82">
        <v>11</v>
      </c>
      <c r="AI19" s="82">
        <v>7</v>
      </c>
      <c r="AJ19" s="82" t="s">
        <v>250</v>
      </c>
      <c r="AK19" s="194">
        <v>294267900</v>
      </c>
      <c r="AL19" s="85">
        <v>20424000</v>
      </c>
      <c r="AM19" s="85">
        <v>273843900</v>
      </c>
      <c r="AN19" s="88" t="s">
        <v>386</v>
      </c>
    </row>
    <row r="20" spans="1:40" ht="12" hidden="1" customHeight="1" x14ac:dyDescent="0.25">
      <c r="A20" s="79"/>
      <c r="B20" s="80"/>
      <c r="C20" s="82"/>
      <c r="D20" s="82"/>
      <c r="E20" s="80"/>
      <c r="F20" s="82"/>
      <c r="G20" s="82"/>
      <c r="H20" s="82"/>
      <c r="I20" s="82"/>
      <c r="J20" s="82"/>
      <c r="K20" s="82"/>
      <c r="L20" s="82"/>
      <c r="M20" s="82"/>
      <c r="N20" s="82"/>
      <c r="O20" s="81"/>
      <c r="P20" s="82"/>
      <c r="Q20" s="81"/>
      <c r="R20" s="81">
        <v>40664</v>
      </c>
      <c r="S20" s="81">
        <v>41029</v>
      </c>
      <c r="T20" s="82">
        <v>12</v>
      </c>
      <c r="U20" s="83">
        <v>4.74</v>
      </c>
      <c r="V20" s="82">
        <v>0.5</v>
      </c>
      <c r="W20" s="82"/>
      <c r="X20" s="82"/>
      <c r="Y20" s="83">
        <v>5.24</v>
      </c>
      <c r="Z20" s="84">
        <v>830000</v>
      </c>
      <c r="AA20" s="84">
        <v>52190400</v>
      </c>
      <c r="AB20" s="82"/>
      <c r="AC20" s="82"/>
      <c r="AD20" s="82"/>
      <c r="AE20" s="82"/>
      <c r="AF20" s="82"/>
      <c r="AG20" s="82"/>
      <c r="AH20" s="82"/>
      <c r="AI20" s="82"/>
      <c r="AJ20" s="82"/>
      <c r="AK20" s="192"/>
      <c r="AL20" s="82"/>
      <c r="AM20" s="85"/>
      <c r="AN20" s="88"/>
    </row>
    <row r="21" spans="1:40" ht="12" hidden="1" customHeight="1" x14ac:dyDescent="0.25">
      <c r="A21" s="79"/>
      <c r="B21" s="80"/>
      <c r="C21" s="82"/>
      <c r="D21" s="82"/>
      <c r="E21" s="80"/>
      <c r="F21" s="82"/>
      <c r="G21" s="82"/>
      <c r="H21" s="82"/>
      <c r="I21" s="82"/>
      <c r="J21" s="82"/>
      <c r="K21" s="82"/>
      <c r="L21" s="82"/>
      <c r="M21" s="82"/>
      <c r="N21" s="82"/>
      <c r="O21" s="81"/>
      <c r="P21" s="82"/>
      <c r="Q21" s="81"/>
      <c r="R21" s="81">
        <v>41030</v>
      </c>
      <c r="S21" s="81">
        <v>41274</v>
      </c>
      <c r="T21" s="82">
        <v>8</v>
      </c>
      <c r="U21" s="83">
        <v>4.74</v>
      </c>
      <c r="V21" s="82">
        <v>0.5</v>
      </c>
      <c r="W21" s="82"/>
      <c r="X21" s="82"/>
      <c r="Y21" s="83">
        <v>5.24</v>
      </c>
      <c r="Z21" s="84">
        <v>1050000</v>
      </c>
      <c r="AA21" s="84">
        <v>44016000</v>
      </c>
      <c r="AB21" s="85"/>
      <c r="AC21" s="85"/>
      <c r="AD21" s="82"/>
      <c r="AE21" s="82"/>
      <c r="AF21" s="82"/>
      <c r="AG21" s="82"/>
      <c r="AH21" s="82"/>
      <c r="AI21" s="82"/>
      <c r="AJ21" s="82"/>
      <c r="AK21" s="192"/>
      <c r="AL21" s="82"/>
      <c r="AM21" s="82"/>
      <c r="AN21" s="88"/>
    </row>
    <row r="22" spans="1:40" ht="12" hidden="1" customHeight="1" x14ac:dyDescent="0.25">
      <c r="A22" s="79"/>
      <c r="B22" s="80"/>
      <c r="C22" s="82"/>
      <c r="D22" s="82"/>
      <c r="E22" s="80"/>
      <c r="F22" s="82"/>
      <c r="G22" s="82"/>
      <c r="H22" s="82"/>
      <c r="I22" s="82"/>
      <c r="J22" s="82"/>
      <c r="K22" s="82"/>
      <c r="L22" s="82"/>
      <c r="M22" s="82"/>
      <c r="N22" s="82"/>
      <c r="O22" s="81"/>
      <c r="P22" s="82"/>
      <c r="Q22" s="82"/>
      <c r="R22" s="81">
        <v>41275</v>
      </c>
      <c r="S22" s="81">
        <v>41455</v>
      </c>
      <c r="T22" s="82">
        <v>6</v>
      </c>
      <c r="U22" s="83">
        <v>5.08</v>
      </c>
      <c r="V22" s="82">
        <v>0.5</v>
      </c>
      <c r="W22" s="82"/>
      <c r="X22" s="82"/>
      <c r="Y22" s="83">
        <v>5.58</v>
      </c>
      <c r="Z22" s="84">
        <v>1050000</v>
      </c>
      <c r="AA22" s="84">
        <v>35154000.000000007</v>
      </c>
      <c r="AB22" s="82"/>
      <c r="AC22" s="82"/>
      <c r="AD22" s="82"/>
      <c r="AE22" s="82"/>
      <c r="AF22" s="82"/>
      <c r="AG22" s="82"/>
      <c r="AH22" s="82"/>
      <c r="AI22" s="82"/>
      <c r="AJ22" s="82"/>
      <c r="AK22" s="192"/>
      <c r="AL22" s="82"/>
      <c r="AM22" s="82"/>
      <c r="AN22" s="88"/>
    </row>
    <row r="23" spans="1:40" ht="12" hidden="1" customHeight="1" x14ac:dyDescent="0.25">
      <c r="A23" s="79"/>
      <c r="B23" s="80"/>
      <c r="C23" s="82"/>
      <c r="D23" s="82"/>
      <c r="E23" s="80"/>
      <c r="F23" s="82"/>
      <c r="G23" s="82"/>
      <c r="H23" s="82"/>
      <c r="I23" s="82"/>
      <c r="J23" s="82"/>
      <c r="K23" s="82"/>
      <c r="L23" s="82"/>
      <c r="M23" s="82"/>
      <c r="N23" s="82"/>
      <c r="O23" s="81"/>
      <c r="P23" s="82"/>
      <c r="Q23" s="82"/>
      <c r="R23" s="81">
        <v>41456</v>
      </c>
      <c r="S23" s="81">
        <v>42004</v>
      </c>
      <c r="T23" s="82">
        <v>18</v>
      </c>
      <c r="U23" s="83">
        <v>5.08</v>
      </c>
      <c r="V23" s="82">
        <v>0.5</v>
      </c>
      <c r="W23" s="82"/>
      <c r="X23" s="82"/>
      <c r="Y23" s="83">
        <v>5.58</v>
      </c>
      <c r="Z23" s="84">
        <v>1150000</v>
      </c>
      <c r="AA23" s="84">
        <v>115506000</v>
      </c>
      <c r="AB23" s="82"/>
      <c r="AC23" s="82"/>
      <c r="AD23" s="82"/>
      <c r="AE23" s="82"/>
      <c r="AF23" s="82"/>
      <c r="AG23" s="82"/>
      <c r="AH23" s="82"/>
      <c r="AI23" s="82"/>
      <c r="AJ23" s="82"/>
      <c r="AK23" s="192"/>
      <c r="AL23" s="82"/>
      <c r="AM23" s="82"/>
      <c r="AN23" s="88"/>
    </row>
    <row r="24" spans="1:40" ht="12" hidden="1" customHeight="1" x14ac:dyDescent="0.25">
      <c r="A24" s="79"/>
      <c r="B24" s="80"/>
      <c r="C24" s="82"/>
      <c r="D24" s="82"/>
      <c r="E24" s="80"/>
      <c r="F24" s="82"/>
      <c r="G24" s="82"/>
      <c r="H24" s="82"/>
      <c r="I24" s="82"/>
      <c r="J24" s="82"/>
      <c r="K24" s="82"/>
      <c r="L24" s="82"/>
      <c r="M24" s="82"/>
      <c r="N24" s="82"/>
      <c r="O24" s="81"/>
      <c r="P24" s="82"/>
      <c r="Q24" s="82"/>
      <c r="R24" s="81">
        <v>42005</v>
      </c>
      <c r="S24" s="81">
        <v>42247</v>
      </c>
      <c r="T24" s="82">
        <v>8</v>
      </c>
      <c r="U24" s="83">
        <v>5.42</v>
      </c>
      <c r="V24" s="82">
        <v>0.5</v>
      </c>
      <c r="W24" s="82"/>
      <c r="X24" s="82"/>
      <c r="Y24" s="83">
        <v>5.92</v>
      </c>
      <c r="Z24" s="84">
        <v>1150000</v>
      </c>
      <c r="AA24" s="84">
        <v>54464000</v>
      </c>
      <c r="AB24" s="82"/>
      <c r="AC24" s="82"/>
      <c r="AD24" s="82"/>
      <c r="AE24" s="82"/>
      <c r="AF24" s="82"/>
      <c r="AG24" s="82"/>
      <c r="AH24" s="82"/>
      <c r="AI24" s="82"/>
      <c r="AJ24" s="82"/>
      <c r="AK24" s="192"/>
      <c r="AL24" s="82"/>
      <c r="AM24" s="82"/>
      <c r="AN24" s="88"/>
    </row>
    <row r="25" spans="1:40" ht="12" hidden="1" customHeight="1" x14ac:dyDescent="0.25">
      <c r="A25" s="89"/>
      <c r="B25" s="90"/>
      <c r="C25" s="91"/>
      <c r="D25" s="91"/>
      <c r="E25" s="90"/>
      <c r="F25" s="91"/>
      <c r="G25" s="91"/>
      <c r="H25" s="91"/>
      <c r="I25" s="91"/>
      <c r="J25" s="91"/>
      <c r="K25" s="91"/>
      <c r="L25" s="91"/>
      <c r="M25" s="91"/>
      <c r="N25" s="91"/>
      <c r="O25" s="92"/>
      <c r="P25" s="91"/>
      <c r="Q25" s="91"/>
      <c r="R25" s="92"/>
      <c r="S25" s="92"/>
      <c r="T25" s="91">
        <v>60</v>
      </c>
      <c r="U25" s="93"/>
      <c r="V25" s="92"/>
      <c r="W25" s="92"/>
      <c r="X25" s="92"/>
      <c r="Y25" s="93"/>
      <c r="Z25" s="94"/>
      <c r="AA25" s="94">
        <v>331932000</v>
      </c>
      <c r="AB25" s="91"/>
      <c r="AC25" s="91"/>
      <c r="AD25" s="91"/>
      <c r="AE25" s="91"/>
      <c r="AF25" s="91"/>
      <c r="AG25" s="91"/>
      <c r="AH25" s="91"/>
      <c r="AI25" s="91"/>
      <c r="AJ25" s="91"/>
      <c r="AK25" s="193"/>
      <c r="AL25" s="91"/>
      <c r="AM25" s="91"/>
      <c r="AN25" s="95"/>
    </row>
    <row r="26" spans="1:40" ht="18" x14ac:dyDescent="0.25">
      <c r="A26" s="96">
        <v>3</v>
      </c>
      <c r="B26" s="97" t="s">
        <v>199</v>
      </c>
      <c r="C26" s="98">
        <v>22221</v>
      </c>
      <c r="D26" s="160" t="s">
        <v>203</v>
      </c>
      <c r="E26" s="97" t="s">
        <v>227</v>
      </c>
      <c r="F26" s="100">
        <v>2.65</v>
      </c>
      <c r="G26" s="98">
        <v>40269</v>
      </c>
      <c r="H26" s="99"/>
      <c r="I26" s="98"/>
      <c r="J26" s="99"/>
      <c r="K26" s="99"/>
      <c r="L26" s="99"/>
      <c r="M26" s="99"/>
      <c r="N26" s="100"/>
      <c r="O26" s="98"/>
      <c r="P26" s="100"/>
      <c r="Q26" s="98"/>
      <c r="R26" s="98">
        <v>40422</v>
      </c>
      <c r="S26" s="98">
        <v>40663</v>
      </c>
      <c r="T26" s="99">
        <v>8</v>
      </c>
      <c r="U26" s="99">
        <v>2.65</v>
      </c>
      <c r="V26" s="99"/>
      <c r="W26" s="141"/>
      <c r="X26" s="99"/>
      <c r="Y26" s="100">
        <v>2.65</v>
      </c>
      <c r="Z26" s="101">
        <v>730000</v>
      </c>
      <c r="AA26" s="101">
        <v>15476000</v>
      </c>
      <c r="AB26" s="103">
        <v>3047500</v>
      </c>
      <c r="AC26" s="225">
        <v>2667666.6666666665</v>
      </c>
      <c r="AD26" s="99" t="s">
        <v>202</v>
      </c>
      <c r="AE26" s="99"/>
      <c r="AF26" s="98">
        <v>42248</v>
      </c>
      <c r="AG26" s="99">
        <v>54</v>
      </c>
      <c r="AH26" s="99">
        <v>10</v>
      </c>
      <c r="AI26" s="99">
        <v>0</v>
      </c>
      <c r="AJ26" s="99" t="s">
        <v>251</v>
      </c>
      <c r="AK26" s="191">
        <v>53159000</v>
      </c>
      <c r="AL26" s="103">
        <v>9142500</v>
      </c>
      <c r="AM26" s="103">
        <v>44016500</v>
      </c>
      <c r="AN26" s="104" t="s">
        <v>147</v>
      </c>
    </row>
    <row r="27" spans="1:40" hidden="1" x14ac:dyDescent="0.25">
      <c r="A27" s="79"/>
      <c r="B27" s="80"/>
      <c r="C27" s="82"/>
      <c r="D27" s="82"/>
      <c r="E27" s="80"/>
      <c r="F27" s="82"/>
      <c r="G27" s="82"/>
      <c r="H27" s="82"/>
      <c r="I27" s="82"/>
      <c r="J27" s="82"/>
      <c r="K27" s="82"/>
      <c r="L27" s="82"/>
      <c r="M27" s="82"/>
      <c r="N27" s="82"/>
      <c r="O27" s="81"/>
      <c r="P27" s="82"/>
      <c r="Q27" s="81"/>
      <c r="R27" s="81">
        <v>40664</v>
      </c>
      <c r="S27" s="81">
        <v>41029</v>
      </c>
      <c r="T27" s="82">
        <v>12</v>
      </c>
      <c r="U27" s="99">
        <v>2.65</v>
      </c>
      <c r="V27" s="82"/>
      <c r="W27" s="112"/>
      <c r="X27" s="112"/>
      <c r="Y27" s="83">
        <v>2.65</v>
      </c>
      <c r="Z27" s="84">
        <v>830000</v>
      </c>
      <c r="AA27" s="84">
        <v>26393999.999999996</v>
      </c>
      <c r="AB27" s="82"/>
      <c r="AC27" s="82"/>
      <c r="AD27" s="82"/>
      <c r="AE27" s="82"/>
      <c r="AF27" s="82"/>
      <c r="AG27" s="82"/>
      <c r="AH27" s="82"/>
      <c r="AI27" s="82"/>
      <c r="AJ27" s="82"/>
      <c r="AK27" s="192"/>
      <c r="AL27" s="82"/>
      <c r="AM27" s="85"/>
      <c r="AN27" s="88"/>
    </row>
    <row r="28" spans="1:40" hidden="1" x14ac:dyDescent="0.25">
      <c r="A28" s="79"/>
      <c r="B28" s="80"/>
      <c r="C28" s="82"/>
      <c r="D28" s="82"/>
      <c r="E28" s="80"/>
      <c r="F28" s="82"/>
      <c r="G28" s="82"/>
      <c r="H28" s="82"/>
      <c r="I28" s="82"/>
      <c r="J28" s="82"/>
      <c r="K28" s="82"/>
      <c r="L28" s="82"/>
      <c r="M28" s="82"/>
      <c r="N28" s="82"/>
      <c r="O28" s="81"/>
      <c r="P28" s="82"/>
      <c r="Q28" s="81"/>
      <c r="R28" s="81">
        <v>41030</v>
      </c>
      <c r="S28" s="81">
        <v>41455</v>
      </c>
      <c r="T28" s="82">
        <v>14</v>
      </c>
      <c r="U28" s="99">
        <v>2.65</v>
      </c>
      <c r="V28" s="82"/>
      <c r="W28" s="112"/>
      <c r="X28" s="112"/>
      <c r="Y28" s="83">
        <v>2.65</v>
      </c>
      <c r="Z28" s="84">
        <v>1050000</v>
      </c>
      <c r="AA28" s="84">
        <v>38955000</v>
      </c>
      <c r="AB28" s="85"/>
      <c r="AC28" s="85"/>
      <c r="AD28" s="82"/>
      <c r="AE28" s="82"/>
      <c r="AF28" s="82"/>
      <c r="AG28" s="82"/>
      <c r="AH28" s="82"/>
      <c r="AI28" s="82"/>
      <c r="AJ28" s="82"/>
      <c r="AK28" s="192"/>
      <c r="AL28" s="82"/>
      <c r="AM28" s="82"/>
      <c r="AN28" s="88"/>
    </row>
    <row r="29" spans="1:40" hidden="1" x14ac:dyDescent="0.25">
      <c r="A29" s="79"/>
      <c r="B29" s="80"/>
      <c r="C29" s="82"/>
      <c r="D29" s="82"/>
      <c r="E29" s="80"/>
      <c r="F29" s="82"/>
      <c r="G29" s="82"/>
      <c r="H29" s="82"/>
      <c r="I29" s="82"/>
      <c r="J29" s="82"/>
      <c r="K29" s="82"/>
      <c r="L29" s="82"/>
      <c r="M29" s="82"/>
      <c r="N29" s="82"/>
      <c r="O29" s="81"/>
      <c r="P29" s="82"/>
      <c r="Q29" s="82"/>
      <c r="R29" s="81">
        <v>41456</v>
      </c>
      <c r="S29" s="81">
        <v>42247</v>
      </c>
      <c r="T29" s="82">
        <v>26</v>
      </c>
      <c r="U29" s="82">
        <v>2.65</v>
      </c>
      <c r="V29" s="82"/>
      <c r="W29" s="112"/>
      <c r="X29" s="112"/>
      <c r="Y29" s="83">
        <v>2.65</v>
      </c>
      <c r="Z29" s="84">
        <v>1150000</v>
      </c>
      <c r="AA29" s="84">
        <v>79234999.999999985</v>
      </c>
      <c r="AB29" s="82"/>
      <c r="AC29" s="82"/>
      <c r="AD29" s="82"/>
      <c r="AE29" s="82"/>
      <c r="AF29" s="82"/>
      <c r="AG29" s="82"/>
      <c r="AH29" s="82"/>
      <c r="AI29" s="82"/>
      <c r="AJ29" s="82"/>
      <c r="AK29" s="192"/>
      <c r="AL29" s="82"/>
      <c r="AM29" s="82"/>
      <c r="AN29" s="88"/>
    </row>
    <row r="30" spans="1:40" hidden="1" x14ac:dyDescent="0.25">
      <c r="A30" s="89"/>
      <c r="B30" s="90"/>
      <c r="C30" s="91"/>
      <c r="D30" s="91"/>
      <c r="E30" s="90"/>
      <c r="F30" s="91"/>
      <c r="G30" s="91"/>
      <c r="H30" s="91"/>
      <c r="I30" s="91"/>
      <c r="J30" s="91"/>
      <c r="K30" s="91"/>
      <c r="L30" s="91"/>
      <c r="M30" s="91"/>
      <c r="N30" s="91"/>
      <c r="O30" s="92"/>
      <c r="P30" s="91"/>
      <c r="Q30" s="91"/>
      <c r="R30" s="92"/>
      <c r="S30" s="92"/>
      <c r="T30" s="91">
        <v>60</v>
      </c>
      <c r="U30" s="93"/>
      <c r="V30" s="92"/>
      <c r="W30" s="92"/>
      <c r="X30" s="92"/>
      <c r="Y30" s="93"/>
      <c r="Z30" s="94"/>
      <c r="AA30" s="94">
        <v>160060000</v>
      </c>
      <c r="AB30" s="91"/>
      <c r="AC30" s="91"/>
      <c r="AD30" s="91"/>
      <c r="AE30" s="91"/>
      <c r="AF30" s="91"/>
      <c r="AG30" s="91"/>
      <c r="AH30" s="91"/>
      <c r="AI30" s="91"/>
      <c r="AJ30" s="91"/>
      <c r="AK30" s="193"/>
      <c r="AL30" s="91"/>
      <c r="AM30" s="91"/>
      <c r="AN30" s="95"/>
    </row>
    <row r="31" spans="1:40" ht="18" x14ac:dyDescent="0.25">
      <c r="A31" s="96">
        <v>4</v>
      </c>
      <c r="B31" s="97" t="s">
        <v>320</v>
      </c>
      <c r="C31" s="98">
        <v>25403</v>
      </c>
      <c r="D31" s="160" t="s">
        <v>203</v>
      </c>
      <c r="E31" s="97" t="s">
        <v>321</v>
      </c>
      <c r="F31" s="100">
        <v>2.25</v>
      </c>
      <c r="G31" s="98">
        <v>40452</v>
      </c>
      <c r="H31" s="99"/>
      <c r="I31" s="98"/>
      <c r="J31" s="99"/>
      <c r="K31" s="99"/>
      <c r="L31" s="99"/>
      <c r="M31" s="99"/>
      <c r="N31" s="100"/>
      <c r="O31" s="98"/>
      <c r="P31" s="100">
        <v>1.95</v>
      </c>
      <c r="Q31" s="98">
        <v>38626</v>
      </c>
      <c r="R31" s="98">
        <v>40422</v>
      </c>
      <c r="S31" s="98">
        <v>40451</v>
      </c>
      <c r="T31" s="99">
        <v>1</v>
      </c>
      <c r="U31" s="99">
        <v>1.95</v>
      </c>
      <c r="V31" s="99"/>
      <c r="W31" s="141"/>
      <c r="X31" s="99"/>
      <c r="Y31" s="100">
        <v>1.95</v>
      </c>
      <c r="Z31" s="101">
        <v>730000</v>
      </c>
      <c r="AA31" s="101">
        <v>1423500</v>
      </c>
      <c r="AB31" s="103">
        <v>2587500</v>
      </c>
      <c r="AC31" s="225">
        <v>2261350</v>
      </c>
      <c r="AD31" s="99" t="s">
        <v>322</v>
      </c>
      <c r="AE31" s="99"/>
      <c r="AF31" s="98">
        <v>42248</v>
      </c>
      <c r="AG31" s="99">
        <v>46</v>
      </c>
      <c r="AH31" s="99">
        <v>1</v>
      </c>
      <c r="AI31" s="99">
        <v>13</v>
      </c>
      <c r="AJ31" s="99" t="s">
        <v>325</v>
      </c>
      <c r="AK31" s="191">
        <v>41682750</v>
      </c>
      <c r="AL31" s="103">
        <v>7762500</v>
      </c>
      <c r="AM31" s="103">
        <v>33920250</v>
      </c>
      <c r="AN31" s="104" t="s">
        <v>239</v>
      </c>
    </row>
    <row r="32" spans="1:40" hidden="1" x14ac:dyDescent="0.25">
      <c r="A32" s="96"/>
      <c r="B32" s="97"/>
      <c r="C32" s="98"/>
      <c r="D32" s="160"/>
      <c r="E32" s="97"/>
      <c r="F32" s="100"/>
      <c r="G32" s="98"/>
      <c r="H32" s="99"/>
      <c r="I32" s="98"/>
      <c r="J32" s="99"/>
      <c r="K32" s="99"/>
      <c r="L32" s="99"/>
      <c r="M32" s="99"/>
      <c r="N32" s="100"/>
      <c r="O32" s="98"/>
      <c r="P32" s="100"/>
      <c r="Q32" s="98"/>
      <c r="R32" s="98">
        <v>40452</v>
      </c>
      <c r="S32" s="98">
        <v>40663</v>
      </c>
      <c r="T32" s="99">
        <v>7</v>
      </c>
      <c r="U32" s="99">
        <v>2.25</v>
      </c>
      <c r="V32" s="99"/>
      <c r="W32" s="141"/>
      <c r="X32" s="99"/>
      <c r="Y32" s="100">
        <v>2.25</v>
      </c>
      <c r="Z32" s="101">
        <v>730000</v>
      </c>
      <c r="AA32" s="101">
        <v>11497500</v>
      </c>
      <c r="AB32" s="103"/>
      <c r="AC32" s="103"/>
      <c r="AD32" s="99"/>
      <c r="AE32" s="99"/>
      <c r="AF32" s="98"/>
      <c r="AG32" s="99"/>
      <c r="AH32" s="99"/>
      <c r="AI32" s="99"/>
      <c r="AJ32" s="99"/>
      <c r="AK32" s="203"/>
      <c r="AL32" s="103"/>
      <c r="AM32" s="103"/>
      <c r="AN32" s="207"/>
    </row>
    <row r="33" spans="1:40" hidden="1" x14ac:dyDescent="0.25">
      <c r="A33" s="79"/>
      <c r="B33" s="80"/>
      <c r="C33" s="82"/>
      <c r="D33" s="82"/>
      <c r="E33" s="80"/>
      <c r="F33" s="82"/>
      <c r="G33" s="82"/>
      <c r="H33" s="82"/>
      <c r="I33" s="82"/>
      <c r="J33" s="82"/>
      <c r="K33" s="82"/>
      <c r="L33" s="82"/>
      <c r="M33" s="82"/>
      <c r="N33" s="82"/>
      <c r="O33" s="81"/>
      <c r="P33" s="82"/>
      <c r="Q33" s="81"/>
      <c r="R33" s="81">
        <v>40664</v>
      </c>
      <c r="S33" s="81">
        <v>41029</v>
      </c>
      <c r="T33" s="82">
        <v>12</v>
      </c>
      <c r="U33" s="99">
        <v>2.25</v>
      </c>
      <c r="V33" s="82"/>
      <c r="W33" s="112"/>
      <c r="X33" s="112"/>
      <c r="Y33" s="83">
        <v>2.25</v>
      </c>
      <c r="Z33" s="84">
        <v>830000</v>
      </c>
      <c r="AA33" s="84">
        <v>22410000</v>
      </c>
      <c r="AB33" s="82"/>
      <c r="AC33" s="82"/>
      <c r="AD33" s="82"/>
      <c r="AE33" s="82"/>
      <c r="AF33" s="82"/>
      <c r="AG33" s="82"/>
      <c r="AH33" s="82"/>
      <c r="AI33" s="82"/>
      <c r="AJ33" s="82"/>
      <c r="AK33" s="204"/>
      <c r="AL33" s="82"/>
      <c r="AM33" s="85"/>
      <c r="AN33" s="208"/>
    </row>
    <row r="34" spans="1:40" hidden="1" x14ac:dyDescent="0.25">
      <c r="A34" s="79"/>
      <c r="B34" s="80"/>
      <c r="C34" s="82"/>
      <c r="D34" s="82"/>
      <c r="E34" s="80"/>
      <c r="F34" s="82"/>
      <c r="G34" s="82"/>
      <c r="H34" s="82"/>
      <c r="I34" s="82"/>
      <c r="J34" s="82"/>
      <c r="K34" s="82"/>
      <c r="L34" s="82"/>
      <c r="M34" s="82"/>
      <c r="N34" s="82"/>
      <c r="O34" s="81"/>
      <c r="P34" s="82"/>
      <c r="Q34" s="81"/>
      <c r="R34" s="81">
        <v>41030</v>
      </c>
      <c r="S34" s="81">
        <v>41455</v>
      </c>
      <c r="T34" s="82">
        <v>14</v>
      </c>
      <c r="U34" s="99">
        <v>2.25</v>
      </c>
      <c r="V34" s="82"/>
      <c r="W34" s="112"/>
      <c r="X34" s="112"/>
      <c r="Y34" s="83">
        <v>2.25</v>
      </c>
      <c r="Z34" s="84">
        <v>1050000</v>
      </c>
      <c r="AA34" s="84">
        <v>33075000</v>
      </c>
      <c r="AB34" s="85"/>
      <c r="AC34" s="85"/>
      <c r="AD34" s="82"/>
      <c r="AE34" s="82"/>
      <c r="AF34" s="82"/>
      <c r="AG34" s="82"/>
      <c r="AH34" s="82"/>
      <c r="AI34" s="82"/>
      <c r="AJ34" s="82"/>
      <c r="AK34" s="204"/>
      <c r="AL34" s="82"/>
      <c r="AM34" s="82"/>
      <c r="AN34" s="208"/>
    </row>
    <row r="35" spans="1:40" hidden="1" x14ac:dyDescent="0.25">
      <c r="A35" s="79"/>
      <c r="B35" s="80"/>
      <c r="C35" s="82"/>
      <c r="D35" s="82"/>
      <c r="E35" s="80"/>
      <c r="F35" s="82"/>
      <c r="G35" s="82"/>
      <c r="H35" s="82"/>
      <c r="I35" s="82"/>
      <c r="J35" s="82"/>
      <c r="K35" s="82"/>
      <c r="L35" s="82"/>
      <c r="M35" s="82"/>
      <c r="N35" s="82"/>
      <c r="O35" s="81"/>
      <c r="P35" s="82"/>
      <c r="Q35" s="82"/>
      <c r="R35" s="81">
        <v>41456</v>
      </c>
      <c r="S35" s="81">
        <v>42247</v>
      </c>
      <c r="T35" s="82">
        <v>26</v>
      </c>
      <c r="U35" s="99">
        <v>2.25</v>
      </c>
      <c r="V35" s="82"/>
      <c r="W35" s="112"/>
      <c r="X35" s="112"/>
      <c r="Y35" s="83">
        <v>2.25</v>
      </c>
      <c r="Z35" s="84">
        <v>1150000</v>
      </c>
      <c r="AA35" s="84">
        <v>67275000</v>
      </c>
      <c r="AB35" s="82"/>
      <c r="AC35" s="82"/>
      <c r="AD35" s="82"/>
      <c r="AE35" s="82"/>
      <c r="AF35" s="82"/>
      <c r="AG35" s="82"/>
      <c r="AH35" s="82"/>
      <c r="AI35" s="82"/>
      <c r="AJ35" s="82"/>
      <c r="AK35" s="204"/>
      <c r="AL35" s="82"/>
      <c r="AM35" s="82"/>
      <c r="AN35" s="208"/>
    </row>
    <row r="36" spans="1:40" hidden="1" x14ac:dyDescent="0.25">
      <c r="A36" s="89"/>
      <c r="B36" s="90"/>
      <c r="C36" s="91"/>
      <c r="D36" s="91"/>
      <c r="E36" s="90"/>
      <c r="F36" s="91"/>
      <c r="G36" s="91"/>
      <c r="H36" s="91"/>
      <c r="I36" s="91"/>
      <c r="J36" s="91"/>
      <c r="K36" s="91"/>
      <c r="L36" s="91"/>
      <c r="M36" s="91"/>
      <c r="N36" s="91"/>
      <c r="O36" s="92"/>
      <c r="P36" s="91"/>
      <c r="Q36" s="91"/>
      <c r="R36" s="92"/>
      <c r="S36" s="92"/>
      <c r="T36" s="91">
        <v>60</v>
      </c>
      <c r="U36" s="93"/>
      <c r="V36" s="92"/>
      <c r="W36" s="92"/>
      <c r="X36" s="92"/>
      <c r="Y36" s="93"/>
      <c r="Z36" s="94"/>
      <c r="AA36" s="94">
        <v>135681000</v>
      </c>
      <c r="AB36" s="91"/>
      <c r="AC36" s="91"/>
      <c r="AD36" s="91"/>
      <c r="AE36" s="91"/>
      <c r="AF36" s="91"/>
      <c r="AG36" s="91"/>
      <c r="AH36" s="91"/>
      <c r="AI36" s="91"/>
      <c r="AJ36" s="91"/>
      <c r="AK36" s="205"/>
      <c r="AL36" s="91"/>
      <c r="AM36" s="91"/>
      <c r="AN36" s="209"/>
    </row>
    <row r="37" spans="1:40" ht="27" x14ac:dyDescent="0.25">
      <c r="A37" s="79">
        <v>5</v>
      </c>
      <c r="B37" s="80" t="s">
        <v>165</v>
      </c>
      <c r="C37" s="81">
        <v>24765</v>
      </c>
      <c r="D37" s="82" t="s">
        <v>182</v>
      </c>
      <c r="E37" s="80" t="s">
        <v>225</v>
      </c>
      <c r="F37" s="83">
        <v>2.0699999999999998</v>
      </c>
      <c r="G37" s="81">
        <v>41883</v>
      </c>
      <c r="H37" s="82"/>
      <c r="I37" s="81"/>
      <c r="J37" s="82"/>
      <c r="K37" s="82"/>
      <c r="L37" s="82"/>
      <c r="M37" s="82"/>
      <c r="N37" s="83">
        <v>1.28</v>
      </c>
      <c r="O37" s="81" t="s">
        <v>231</v>
      </c>
      <c r="P37" s="83" t="s">
        <v>291</v>
      </c>
      <c r="Q37" s="81" t="s">
        <v>292</v>
      </c>
      <c r="R37" s="81">
        <v>40422</v>
      </c>
      <c r="S37" s="81">
        <v>40663</v>
      </c>
      <c r="T37" s="82">
        <v>8</v>
      </c>
      <c r="U37" s="83">
        <v>2.46</v>
      </c>
      <c r="V37" s="82"/>
      <c r="W37" s="82"/>
      <c r="X37" s="82"/>
      <c r="Y37" s="83">
        <v>2.46</v>
      </c>
      <c r="Z37" s="84">
        <v>730000</v>
      </c>
      <c r="AA37" s="84">
        <v>14366400</v>
      </c>
      <c r="AB37" s="85">
        <v>2380500</v>
      </c>
      <c r="AC37" s="226">
        <v>1957000</v>
      </c>
      <c r="AD37" s="82" t="s">
        <v>166</v>
      </c>
      <c r="AE37" s="82"/>
      <c r="AF37" s="81">
        <v>42248</v>
      </c>
      <c r="AG37" s="82">
        <v>47</v>
      </c>
      <c r="AH37" s="82">
        <v>10</v>
      </c>
      <c r="AI37" s="82">
        <v>12</v>
      </c>
      <c r="AJ37" s="82" t="s">
        <v>252</v>
      </c>
      <c r="AK37" s="194">
        <v>65851500</v>
      </c>
      <c r="AL37" s="85">
        <v>7141500</v>
      </c>
      <c r="AM37" s="85">
        <v>58710000</v>
      </c>
      <c r="AN37" s="88" t="s">
        <v>147</v>
      </c>
    </row>
    <row r="38" spans="1:40" hidden="1" x14ac:dyDescent="0.25">
      <c r="A38" s="79"/>
      <c r="B38" s="80"/>
      <c r="C38" s="82"/>
      <c r="D38" s="82"/>
      <c r="E38" s="80"/>
      <c r="F38" s="82"/>
      <c r="G38" s="82"/>
      <c r="H38" s="82"/>
      <c r="I38" s="82"/>
      <c r="J38" s="82"/>
      <c r="K38" s="82"/>
      <c r="L38" s="82"/>
      <c r="M38" s="82"/>
      <c r="N38" s="82"/>
      <c r="O38" s="81"/>
      <c r="P38" s="82"/>
      <c r="Q38" s="81"/>
      <c r="R38" s="81">
        <v>40664</v>
      </c>
      <c r="S38" s="81">
        <v>41029</v>
      </c>
      <c r="T38" s="82">
        <v>12</v>
      </c>
      <c r="U38" s="83">
        <v>1.71</v>
      </c>
      <c r="V38" s="82"/>
      <c r="W38" s="82"/>
      <c r="X38" s="82"/>
      <c r="Y38" s="83">
        <v>1.71</v>
      </c>
      <c r="Z38" s="84">
        <v>830000</v>
      </c>
      <c r="AA38" s="84">
        <v>17031600</v>
      </c>
      <c r="AB38" s="82"/>
      <c r="AC38" s="82"/>
      <c r="AD38" s="82"/>
      <c r="AE38" s="82"/>
      <c r="AF38" s="82"/>
      <c r="AG38" s="82"/>
      <c r="AH38" s="82"/>
      <c r="AI38" s="82"/>
      <c r="AJ38" s="82"/>
      <c r="AK38" s="192"/>
      <c r="AL38" s="82"/>
      <c r="AM38" s="85"/>
      <c r="AN38" s="88"/>
    </row>
    <row r="39" spans="1:40" hidden="1" x14ac:dyDescent="0.25">
      <c r="A39" s="79"/>
      <c r="B39" s="80"/>
      <c r="C39" s="82"/>
      <c r="D39" s="82"/>
      <c r="E39" s="80"/>
      <c r="F39" s="82"/>
      <c r="G39" s="82"/>
      <c r="H39" s="82"/>
      <c r="I39" s="82"/>
      <c r="J39" s="82"/>
      <c r="K39" s="82"/>
      <c r="L39" s="82"/>
      <c r="M39" s="82"/>
      <c r="N39" s="82"/>
      <c r="O39" s="81"/>
      <c r="P39" s="82"/>
      <c r="Q39" s="81"/>
      <c r="R39" s="81">
        <v>41030</v>
      </c>
      <c r="S39" s="81">
        <v>41152</v>
      </c>
      <c r="T39" s="82">
        <v>4</v>
      </c>
      <c r="U39" s="83">
        <v>1.71</v>
      </c>
      <c r="V39" s="82"/>
      <c r="W39" s="82"/>
      <c r="X39" s="82"/>
      <c r="Y39" s="83">
        <v>1.71</v>
      </c>
      <c r="Z39" s="84">
        <v>1050000</v>
      </c>
      <c r="AA39" s="84">
        <v>7182000</v>
      </c>
      <c r="AB39" s="85"/>
      <c r="AC39" s="85"/>
      <c r="AD39" s="82"/>
      <c r="AE39" s="82"/>
      <c r="AF39" s="82"/>
      <c r="AG39" s="82"/>
      <c r="AH39" s="82"/>
      <c r="AI39" s="82"/>
      <c r="AJ39" s="82"/>
      <c r="AK39" s="192"/>
      <c r="AL39" s="82"/>
      <c r="AM39" s="82"/>
      <c r="AN39" s="88"/>
    </row>
    <row r="40" spans="1:40" hidden="1" x14ac:dyDescent="0.25">
      <c r="A40" s="79"/>
      <c r="B40" s="80"/>
      <c r="C40" s="82"/>
      <c r="D40" s="82"/>
      <c r="E40" s="80"/>
      <c r="F40" s="82"/>
      <c r="G40" s="82"/>
      <c r="H40" s="82"/>
      <c r="I40" s="82"/>
      <c r="J40" s="82"/>
      <c r="K40" s="82"/>
      <c r="L40" s="82"/>
      <c r="M40" s="82"/>
      <c r="N40" s="82"/>
      <c r="O40" s="81"/>
      <c r="P40" s="82"/>
      <c r="Q40" s="82"/>
      <c r="R40" s="81">
        <v>41153</v>
      </c>
      <c r="S40" s="81">
        <v>41455</v>
      </c>
      <c r="T40" s="82">
        <v>10</v>
      </c>
      <c r="U40" s="83">
        <v>1.89</v>
      </c>
      <c r="V40" s="82"/>
      <c r="W40" s="82"/>
      <c r="X40" s="82"/>
      <c r="Y40" s="83">
        <v>1.89</v>
      </c>
      <c r="Z40" s="84">
        <v>1050000</v>
      </c>
      <c r="AA40" s="84">
        <v>19845000</v>
      </c>
      <c r="AB40" s="82"/>
      <c r="AC40" s="82"/>
      <c r="AD40" s="82"/>
      <c r="AE40" s="82"/>
      <c r="AF40" s="82"/>
      <c r="AG40" s="82"/>
      <c r="AH40" s="82"/>
      <c r="AI40" s="82"/>
      <c r="AJ40" s="82"/>
      <c r="AK40" s="192"/>
      <c r="AL40" s="82"/>
      <c r="AM40" s="82"/>
      <c r="AN40" s="88"/>
    </row>
    <row r="41" spans="1:40" hidden="1" x14ac:dyDescent="0.25">
      <c r="A41" s="79"/>
      <c r="B41" s="80"/>
      <c r="C41" s="82"/>
      <c r="D41" s="82"/>
      <c r="E41" s="80"/>
      <c r="F41" s="82"/>
      <c r="G41" s="82"/>
      <c r="H41" s="82"/>
      <c r="I41" s="82"/>
      <c r="J41" s="82"/>
      <c r="K41" s="82"/>
      <c r="L41" s="82"/>
      <c r="M41" s="82"/>
      <c r="N41" s="82"/>
      <c r="O41" s="81"/>
      <c r="P41" s="82"/>
      <c r="Q41" s="82"/>
      <c r="R41" s="81">
        <v>41456</v>
      </c>
      <c r="S41" s="81">
        <v>41882</v>
      </c>
      <c r="T41" s="82">
        <v>14</v>
      </c>
      <c r="U41" s="83">
        <v>1.89</v>
      </c>
      <c r="V41" s="82"/>
      <c r="W41" s="82"/>
      <c r="X41" s="82"/>
      <c r="Y41" s="83">
        <v>1.89</v>
      </c>
      <c r="Z41" s="84">
        <v>1150000</v>
      </c>
      <c r="AA41" s="84">
        <v>30428999.999999996</v>
      </c>
      <c r="AB41" s="82"/>
      <c r="AC41" s="82"/>
      <c r="AD41" s="82"/>
      <c r="AE41" s="82"/>
      <c r="AF41" s="82"/>
      <c r="AG41" s="82"/>
      <c r="AH41" s="82"/>
      <c r="AI41" s="82"/>
      <c r="AJ41" s="82"/>
      <c r="AK41" s="192"/>
      <c r="AL41" s="82"/>
      <c r="AM41" s="82"/>
      <c r="AN41" s="88"/>
    </row>
    <row r="42" spans="1:40" hidden="1" x14ac:dyDescent="0.25">
      <c r="A42" s="79"/>
      <c r="B42" s="80"/>
      <c r="C42" s="82"/>
      <c r="D42" s="82"/>
      <c r="E42" s="80"/>
      <c r="F42" s="82"/>
      <c r="G42" s="82"/>
      <c r="H42" s="82"/>
      <c r="I42" s="82"/>
      <c r="J42" s="82"/>
      <c r="K42" s="82"/>
      <c r="L42" s="82"/>
      <c r="M42" s="82"/>
      <c r="N42" s="82"/>
      <c r="O42" s="81"/>
      <c r="P42" s="82"/>
      <c r="Q42" s="82"/>
      <c r="R42" s="81">
        <v>41883</v>
      </c>
      <c r="S42" s="81">
        <v>42247</v>
      </c>
      <c r="T42" s="82">
        <v>12</v>
      </c>
      <c r="U42" s="83">
        <v>2.0699999999999998</v>
      </c>
      <c r="V42" s="82"/>
      <c r="W42" s="82"/>
      <c r="X42" s="82"/>
      <c r="Y42" s="83">
        <v>2.0699999999999998</v>
      </c>
      <c r="Z42" s="84">
        <v>1150000</v>
      </c>
      <c r="AA42" s="84">
        <v>28565999.999999996</v>
      </c>
      <c r="AB42" s="82"/>
      <c r="AC42" s="82"/>
      <c r="AD42" s="82"/>
      <c r="AE42" s="82"/>
      <c r="AF42" s="82"/>
      <c r="AG42" s="82"/>
      <c r="AH42" s="82"/>
      <c r="AI42" s="82"/>
      <c r="AJ42" s="82"/>
      <c r="AK42" s="192"/>
      <c r="AL42" s="82"/>
      <c r="AM42" s="82"/>
      <c r="AN42" s="88"/>
    </row>
    <row r="43" spans="1:40" hidden="1" x14ac:dyDescent="0.25">
      <c r="A43" s="89"/>
      <c r="B43" s="90"/>
      <c r="C43" s="91"/>
      <c r="D43" s="91"/>
      <c r="E43" s="90"/>
      <c r="F43" s="91"/>
      <c r="G43" s="91"/>
      <c r="H43" s="91"/>
      <c r="I43" s="91"/>
      <c r="J43" s="91"/>
      <c r="K43" s="91"/>
      <c r="L43" s="91"/>
      <c r="M43" s="91"/>
      <c r="N43" s="91"/>
      <c r="O43" s="92"/>
      <c r="P43" s="91"/>
      <c r="Q43" s="91"/>
      <c r="R43" s="92"/>
      <c r="S43" s="92"/>
      <c r="T43" s="91">
        <v>60</v>
      </c>
      <c r="U43" s="93"/>
      <c r="V43" s="92"/>
      <c r="W43" s="92"/>
      <c r="X43" s="92"/>
      <c r="Y43" s="93"/>
      <c r="Z43" s="94"/>
      <c r="AA43" s="94">
        <v>117420000</v>
      </c>
      <c r="AB43" s="91"/>
      <c r="AC43" s="91"/>
      <c r="AD43" s="91"/>
      <c r="AE43" s="91"/>
      <c r="AF43" s="91"/>
      <c r="AG43" s="91"/>
      <c r="AH43" s="91"/>
      <c r="AI43" s="91"/>
      <c r="AJ43" s="91"/>
      <c r="AK43" s="193"/>
      <c r="AL43" s="91"/>
      <c r="AM43" s="91"/>
      <c r="AN43" s="95"/>
    </row>
    <row r="44" spans="1:40" ht="27.75" thickBot="1" x14ac:dyDescent="0.3">
      <c r="A44" s="96">
        <v>6</v>
      </c>
      <c r="B44" s="97" t="s">
        <v>185</v>
      </c>
      <c r="C44" s="98">
        <v>24400</v>
      </c>
      <c r="D44" s="99" t="s">
        <v>182</v>
      </c>
      <c r="E44" s="97" t="s">
        <v>226</v>
      </c>
      <c r="F44" s="100">
        <v>2.0699999999999998</v>
      </c>
      <c r="G44" s="98">
        <v>41456</v>
      </c>
      <c r="H44" s="99"/>
      <c r="I44" s="98"/>
      <c r="J44" s="99"/>
      <c r="K44" s="99"/>
      <c r="L44" s="99"/>
      <c r="M44" s="99"/>
      <c r="N44" s="100">
        <v>0.54</v>
      </c>
      <c r="O44" s="98" t="s">
        <v>231</v>
      </c>
      <c r="P44" s="100" t="s">
        <v>293</v>
      </c>
      <c r="Q44" s="98" t="s">
        <v>294</v>
      </c>
      <c r="R44" s="98">
        <v>40422</v>
      </c>
      <c r="S44" s="98">
        <v>40663</v>
      </c>
      <c r="T44" s="99">
        <v>8</v>
      </c>
      <c r="U44" s="100">
        <v>2.25</v>
      </c>
      <c r="V44" s="99"/>
      <c r="W44" s="99"/>
      <c r="X44" s="99"/>
      <c r="Y44" s="100">
        <v>2.25</v>
      </c>
      <c r="Z44" s="101">
        <v>730000</v>
      </c>
      <c r="AA44" s="101">
        <v>13140000</v>
      </c>
      <c r="AB44" s="103">
        <v>2380500</v>
      </c>
      <c r="AC44" s="225">
        <v>2022360</v>
      </c>
      <c r="AD44" s="99" t="s">
        <v>186</v>
      </c>
      <c r="AE44" s="99"/>
      <c r="AF44" s="98">
        <v>42248</v>
      </c>
      <c r="AG44" s="99">
        <v>48</v>
      </c>
      <c r="AH44" s="99">
        <v>10</v>
      </c>
      <c r="AI44" s="99">
        <v>12</v>
      </c>
      <c r="AJ44" s="99" t="s">
        <v>253</v>
      </c>
      <c r="AK44" s="191">
        <v>87530310</v>
      </c>
      <c r="AL44" s="103">
        <v>7141500</v>
      </c>
      <c r="AM44" s="103">
        <v>80388810</v>
      </c>
      <c r="AN44" s="104" t="s">
        <v>147</v>
      </c>
    </row>
    <row r="45" spans="1:40" ht="13.5" hidden="1" customHeight="1" x14ac:dyDescent="0.25">
      <c r="A45" s="79"/>
      <c r="B45" s="80"/>
      <c r="C45" s="82"/>
      <c r="D45" s="82"/>
      <c r="E45" s="80"/>
      <c r="F45" s="82"/>
      <c r="G45" s="82"/>
      <c r="H45" s="82"/>
      <c r="I45" s="82"/>
      <c r="J45" s="82"/>
      <c r="K45" s="82"/>
      <c r="L45" s="82"/>
      <c r="M45" s="82"/>
      <c r="N45" s="82"/>
      <c r="O45" s="81"/>
      <c r="P45" s="82"/>
      <c r="Q45" s="81"/>
      <c r="R45" s="81">
        <v>40664</v>
      </c>
      <c r="S45" s="81">
        <v>40724</v>
      </c>
      <c r="T45" s="82">
        <v>2</v>
      </c>
      <c r="U45" s="83">
        <v>1.71</v>
      </c>
      <c r="V45" s="82"/>
      <c r="W45" s="82"/>
      <c r="X45" s="82"/>
      <c r="Y45" s="83">
        <v>1.71</v>
      </c>
      <c r="Z45" s="84">
        <v>830000</v>
      </c>
      <c r="AA45" s="84">
        <v>2838600</v>
      </c>
      <c r="AB45" s="82"/>
      <c r="AC45" s="82"/>
      <c r="AD45" s="82"/>
      <c r="AE45" s="82"/>
      <c r="AF45" s="82"/>
      <c r="AG45" s="82"/>
      <c r="AH45" s="82"/>
      <c r="AI45" s="82"/>
      <c r="AJ45" s="82"/>
      <c r="AK45" s="192"/>
      <c r="AL45" s="82"/>
      <c r="AM45" s="85"/>
      <c r="AN45" s="88"/>
    </row>
    <row r="46" spans="1:40" ht="13.5" hidden="1" customHeight="1" x14ac:dyDescent="0.25">
      <c r="A46" s="79"/>
      <c r="B46" s="80"/>
      <c r="C46" s="82"/>
      <c r="D46" s="82"/>
      <c r="E46" s="80"/>
      <c r="F46" s="82"/>
      <c r="G46" s="82"/>
      <c r="H46" s="82"/>
      <c r="I46" s="82"/>
      <c r="J46" s="82"/>
      <c r="K46" s="82"/>
      <c r="L46" s="82"/>
      <c r="M46" s="82"/>
      <c r="N46" s="82"/>
      <c r="O46" s="81"/>
      <c r="P46" s="82"/>
      <c r="Q46" s="81"/>
      <c r="R46" s="81">
        <v>40725</v>
      </c>
      <c r="S46" s="81">
        <v>41029</v>
      </c>
      <c r="T46" s="82">
        <v>10</v>
      </c>
      <c r="U46" s="83">
        <v>1.89</v>
      </c>
      <c r="V46" s="82"/>
      <c r="W46" s="82"/>
      <c r="X46" s="82"/>
      <c r="Y46" s="83">
        <v>1.89</v>
      </c>
      <c r="Z46" s="84">
        <v>830000</v>
      </c>
      <c r="AA46" s="84">
        <v>15686999.999999998</v>
      </c>
      <c r="AB46" s="82"/>
      <c r="AC46" s="82"/>
      <c r="AD46" s="82"/>
      <c r="AE46" s="82"/>
      <c r="AF46" s="82"/>
      <c r="AG46" s="82"/>
      <c r="AH46" s="82"/>
      <c r="AI46" s="82"/>
      <c r="AJ46" s="82"/>
      <c r="AK46" s="192"/>
      <c r="AL46" s="82"/>
      <c r="AM46" s="85"/>
      <c r="AN46" s="88"/>
    </row>
    <row r="47" spans="1:40" ht="13.5" hidden="1" customHeight="1" x14ac:dyDescent="0.25">
      <c r="A47" s="79"/>
      <c r="B47" s="80"/>
      <c r="C47" s="82"/>
      <c r="D47" s="82"/>
      <c r="E47" s="80"/>
      <c r="F47" s="82"/>
      <c r="G47" s="82"/>
      <c r="H47" s="82"/>
      <c r="I47" s="82"/>
      <c r="J47" s="82"/>
      <c r="K47" s="82"/>
      <c r="L47" s="82"/>
      <c r="M47" s="82"/>
      <c r="N47" s="82"/>
      <c r="O47" s="81"/>
      <c r="P47" s="82"/>
      <c r="Q47" s="81"/>
      <c r="R47" s="81">
        <v>41030</v>
      </c>
      <c r="S47" s="81">
        <v>41455</v>
      </c>
      <c r="T47" s="82">
        <v>14</v>
      </c>
      <c r="U47" s="83">
        <v>1.89</v>
      </c>
      <c r="V47" s="82"/>
      <c r="W47" s="82"/>
      <c r="X47" s="82"/>
      <c r="Y47" s="83">
        <v>1.89</v>
      </c>
      <c r="Z47" s="84">
        <v>1050000</v>
      </c>
      <c r="AA47" s="84">
        <v>27782999.999999996</v>
      </c>
      <c r="AB47" s="85"/>
      <c r="AC47" s="85"/>
      <c r="AD47" s="82"/>
      <c r="AE47" s="82"/>
      <c r="AF47" s="82"/>
      <c r="AG47" s="82"/>
      <c r="AH47" s="82"/>
      <c r="AI47" s="82"/>
      <c r="AJ47" s="82"/>
      <c r="AK47" s="192"/>
      <c r="AL47" s="82"/>
      <c r="AM47" s="82"/>
      <c r="AN47" s="88"/>
    </row>
    <row r="48" spans="1:40" ht="13.5" hidden="1" customHeight="1" x14ac:dyDescent="0.25">
      <c r="A48" s="79"/>
      <c r="B48" s="80"/>
      <c r="C48" s="82"/>
      <c r="D48" s="82"/>
      <c r="E48" s="80"/>
      <c r="F48" s="82"/>
      <c r="G48" s="82"/>
      <c r="H48" s="82"/>
      <c r="I48" s="82"/>
      <c r="J48" s="82"/>
      <c r="K48" s="82"/>
      <c r="L48" s="82"/>
      <c r="M48" s="82"/>
      <c r="N48" s="82"/>
      <c r="O48" s="81"/>
      <c r="P48" s="82"/>
      <c r="Q48" s="82"/>
      <c r="R48" s="81">
        <v>41456</v>
      </c>
      <c r="S48" s="81">
        <v>42247</v>
      </c>
      <c r="T48" s="82">
        <v>26</v>
      </c>
      <c r="U48" s="83">
        <v>2.0699999999999998</v>
      </c>
      <c r="V48" s="82"/>
      <c r="W48" s="82"/>
      <c r="X48" s="82"/>
      <c r="Y48" s="83">
        <v>2.0699999999999998</v>
      </c>
      <c r="Z48" s="84">
        <v>1150000</v>
      </c>
      <c r="AA48" s="84">
        <v>61892999.999999993</v>
      </c>
      <c r="AB48" s="82"/>
      <c r="AC48" s="82"/>
      <c r="AD48" s="82"/>
      <c r="AE48" s="82"/>
      <c r="AF48" s="82"/>
      <c r="AG48" s="82"/>
      <c r="AH48" s="82"/>
      <c r="AI48" s="82"/>
      <c r="AJ48" s="82"/>
      <c r="AK48" s="192"/>
      <c r="AL48" s="82"/>
      <c r="AM48" s="82"/>
      <c r="AN48" s="88"/>
    </row>
    <row r="49" spans="1:40" ht="13.5" hidden="1" customHeight="1" thickBot="1" x14ac:dyDescent="0.3">
      <c r="A49" s="89"/>
      <c r="B49" s="90"/>
      <c r="C49" s="91"/>
      <c r="D49" s="91"/>
      <c r="E49" s="90"/>
      <c r="F49" s="91"/>
      <c r="G49" s="91"/>
      <c r="H49" s="91"/>
      <c r="I49" s="91"/>
      <c r="J49" s="91"/>
      <c r="K49" s="91"/>
      <c r="L49" s="91"/>
      <c r="M49" s="91"/>
      <c r="N49" s="91"/>
      <c r="O49" s="92"/>
      <c r="P49" s="91"/>
      <c r="Q49" s="91"/>
      <c r="R49" s="92"/>
      <c r="S49" s="92"/>
      <c r="T49" s="91">
        <v>60</v>
      </c>
      <c r="U49" s="93"/>
      <c r="V49" s="92"/>
      <c r="W49" s="92"/>
      <c r="X49" s="92"/>
      <c r="Y49" s="93"/>
      <c r="Z49" s="94"/>
      <c r="AA49" s="94">
        <v>121341600</v>
      </c>
      <c r="AB49" s="91"/>
      <c r="AC49" s="91"/>
      <c r="AD49" s="91"/>
      <c r="AE49" s="91"/>
      <c r="AF49" s="91"/>
      <c r="AG49" s="91"/>
      <c r="AH49" s="91"/>
      <c r="AI49" s="91"/>
      <c r="AJ49" s="91"/>
      <c r="AK49" s="193"/>
      <c r="AL49" s="91"/>
      <c r="AM49" s="91"/>
      <c r="AN49" s="95"/>
    </row>
    <row r="50" spans="1:40" s="174" customFormat="1" ht="20.25" customHeight="1" x14ac:dyDescent="0.2">
      <c r="A50" s="175" t="s">
        <v>155</v>
      </c>
      <c r="B50" s="176" t="s">
        <v>33</v>
      </c>
      <c r="C50" s="176" t="s">
        <v>373</v>
      </c>
      <c r="D50" s="176"/>
      <c r="E50" s="177"/>
      <c r="F50" s="178"/>
      <c r="G50" s="178"/>
      <c r="H50" s="178"/>
      <c r="I50" s="178"/>
      <c r="J50" s="178"/>
      <c r="K50" s="178"/>
      <c r="L50" s="178"/>
      <c r="M50" s="178"/>
      <c r="N50" s="178"/>
      <c r="O50" s="178"/>
      <c r="P50" s="178"/>
      <c r="Q50" s="178"/>
      <c r="R50" s="178"/>
      <c r="S50" s="178"/>
      <c r="T50" s="178"/>
      <c r="U50" s="178"/>
      <c r="V50" s="178"/>
      <c r="W50" s="178"/>
      <c r="X50" s="178"/>
      <c r="Y50" s="178"/>
      <c r="Z50" s="178"/>
      <c r="AA50" s="178"/>
      <c r="AB50" s="178"/>
      <c r="AC50" s="178"/>
      <c r="AD50" s="178"/>
      <c r="AE50" s="178"/>
      <c r="AF50" s="178"/>
      <c r="AG50" s="178"/>
      <c r="AH50" s="178"/>
      <c r="AI50" s="178"/>
      <c r="AJ50" s="178"/>
      <c r="AK50" s="195"/>
      <c r="AL50" s="178"/>
      <c r="AM50" s="178"/>
      <c r="AN50" s="179"/>
    </row>
    <row r="51" spans="1:40" ht="27" x14ac:dyDescent="0.25">
      <c r="A51" s="79">
        <v>1</v>
      </c>
      <c r="B51" s="80" t="s">
        <v>168</v>
      </c>
      <c r="C51" s="81">
        <v>25430</v>
      </c>
      <c r="D51" s="82" t="s">
        <v>169</v>
      </c>
      <c r="E51" s="80" t="s">
        <v>229</v>
      </c>
      <c r="F51" s="83">
        <v>3.63</v>
      </c>
      <c r="G51" s="81">
        <v>41426</v>
      </c>
      <c r="H51" s="82"/>
      <c r="I51" s="81"/>
      <c r="J51" s="82"/>
      <c r="K51" s="82"/>
      <c r="L51" s="112">
        <v>0.05</v>
      </c>
      <c r="M51" s="81">
        <v>42156</v>
      </c>
      <c r="N51" s="83"/>
      <c r="O51" s="81"/>
      <c r="P51" s="83" t="s">
        <v>295</v>
      </c>
      <c r="Q51" s="81" t="s">
        <v>296</v>
      </c>
      <c r="R51" s="81">
        <v>40513</v>
      </c>
      <c r="S51" s="81">
        <v>40663</v>
      </c>
      <c r="T51" s="82">
        <v>5</v>
      </c>
      <c r="U51" s="83">
        <v>3.27</v>
      </c>
      <c r="V51" s="82"/>
      <c r="W51" s="82"/>
      <c r="X51" s="82"/>
      <c r="Y51" s="83">
        <v>3.27</v>
      </c>
      <c r="Z51" s="84">
        <v>730000</v>
      </c>
      <c r="AA51" s="84">
        <v>11935500.000000002</v>
      </c>
      <c r="AB51" s="85">
        <v>4383225</v>
      </c>
      <c r="AC51" s="226">
        <v>3656082.5</v>
      </c>
      <c r="AD51" s="82" t="s">
        <v>170</v>
      </c>
      <c r="AE51" s="82"/>
      <c r="AF51" s="81">
        <v>42339</v>
      </c>
      <c r="AG51" s="82">
        <v>46</v>
      </c>
      <c r="AH51" s="82">
        <v>3</v>
      </c>
      <c r="AI51" s="82">
        <v>16</v>
      </c>
      <c r="AJ51" s="82" t="s">
        <v>263</v>
      </c>
      <c r="AK51" s="194">
        <v>158478954</v>
      </c>
      <c r="AL51" s="85">
        <v>13149675</v>
      </c>
      <c r="AM51" s="85">
        <v>145329279</v>
      </c>
      <c r="AN51" s="88" t="s">
        <v>147</v>
      </c>
    </row>
    <row r="52" spans="1:40" ht="12" hidden="1" customHeight="1" x14ac:dyDescent="0.25">
      <c r="A52" s="79"/>
      <c r="B52" s="80"/>
      <c r="C52" s="82"/>
      <c r="D52" s="82"/>
      <c r="E52" s="80"/>
      <c r="F52" s="82"/>
      <c r="G52" s="82"/>
      <c r="H52" s="82"/>
      <c r="I52" s="82"/>
      <c r="J52" s="82"/>
      <c r="K52" s="82"/>
      <c r="L52" s="82"/>
      <c r="M52" s="82"/>
      <c r="N52" s="82"/>
      <c r="O52" s="81"/>
      <c r="P52" s="82"/>
      <c r="Q52" s="81"/>
      <c r="R52" s="81">
        <v>40664</v>
      </c>
      <c r="S52" s="81">
        <v>40694</v>
      </c>
      <c r="T52" s="82">
        <v>1</v>
      </c>
      <c r="U52" s="83">
        <v>3.27</v>
      </c>
      <c r="V52" s="82"/>
      <c r="W52" s="82"/>
      <c r="X52" s="82"/>
      <c r="Y52" s="83">
        <v>3.27</v>
      </c>
      <c r="Z52" s="84">
        <v>830000</v>
      </c>
      <c r="AA52" s="84">
        <v>2714100</v>
      </c>
      <c r="AB52" s="82"/>
      <c r="AC52" s="82"/>
      <c r="AD52" s="82"/>
      <c r="AE52" s="82"/>
      <c r="AF52" s="82"/>
      <c r="AG52" s="82"/>
      <c r="AH52" s="82"/>
      <c r="AI52" s="82"/>
      <c r="AJ52" s="82"/>
      <c r="AK52" s="192"/>
      <c r="AL52" s="82"/>
      <c r="AM52" s="85"/>
      <c r="AN52" s="88"/>
    </row>
    <row r="53" spans="1:40" ht="12" hidden="1" customHeight="1" x14ac:dyDescent="0.25">
      <c r="A53" s="79"/>
      <c r="B53" s="80"/>
      <c r="C53" s="82"/>
      <c r="D53" s="82"/>
      <c r="E53" s="80"/>
      <c r="F53" s="82"/>
      <c r="G53" s="82"/>
      <c r="H53" s="82"/>
      <c r="I53" s="82"/>
      <c r="J53" s="82"/>
      <c r="K53" s="82"/>
      <c r="L53" s="82"/>
      <c r="M53" s="82"/>
      <c r="N53" s="82"/>
      <c r="O53" s="81"/>
      <c r="P53" s="82"/>
      <c r="Q53" s="82"/>
      <c r="R53" s="81">
        <v>40695</v>
      </c>
      <c r="S53" s="81">
        <v>41029</v>
      </c>
      <c r="T53" s="82">
        <v>11</v>
      </c>
      <c r="U53" s="83">
        <v>3.45</v>
      </c>
      <c r="V53" s="82"/>
      <c r="W53" s="82"/>
      <c r="X53" s="82"/>
      <c r="Y53" s="83">
        <v>3.45</v>
      </c>
      <c r="Z53" s="84">
        <v>830000</v>
      </c>
      <c r="AA53" s="84">
        <v>31498500.000000004</v>
      </c>
      <c r="AB53" s="85"/>
      <c r="AC53" s="85"/>
      <c r="AD53" s="82"/>
      <c r="AE53" s="82"/>
      <c r="AF53" s="82"/>
      <c r="AG53" s="82"/>
      <c r="AH53" s="82"/>
      <c r="AI53" s="82"/>
      <c r="AJ53" s="82"/>
      <c r="AK53" s="192"/>
      <c r="AL53" s="82"/>
      <c r="AM53" s="82"/>
      <c r="AN53" s="88"/>
    </row>
    <row r="54" spans="1:40" ht="12" hidden="1" customHeight="1" x14ac:dyDescent="0.25">
      <c r="A54" s="79"/>
      <c r="B54" s="80"/>
      <c r="C54" s="82"/>
      <c r="D54" s="82"/>
      <c r="E54" s="80"/>
      <c r="F54" s="82"/>
      <c r="G54" s="82"/>
      <c r="H54" s="82"/>
      <c r="I54" s="82"/>
      <c r="J54" s="82"/>
      <c r="K54" s="82"/>
      <c r="L54" s="82"/>
      <c r="M54" s="82"/>
      <c r="N54" s="82"/>
      <c r="O54" s="81"/>
      <c r="P54" s="82"/>
      <c r="Q54" s="82"/>
      <c r="R54" s="81">
        <v>41030</v>
      </c>
      <c r="S54" s="81">
        <v>41425</v>
      </c>
      <c r="T54" s="82">
        <v>13</v>
      </c>
      <c r="U54" s="83">
        <v>3.45</v>
      </c>
      <c r="V54" s="82"/>
      <c r="W54" s="82"/>
      <c r="X54" s="82"/>
      <c r="Y54" s="83">
        <v>3.45</v>
      </c>
      <c r="Z54" s="84">
        <v>1050000</v>
      </c>
      <c r="AA54" s="84">
        <v>47092500</v>
      </c>
      <c r="AB54" s="82"/>
      <c r="AC54" s="82"/>
      <c r="AD54" s="82"/>
      <c r="AE54" s="82"/>
      <c r="AF54" s="82"/>
      <c r="AG54" s="82"/>
      <c r="AH54" s="82"/>
      <c r="AI54" s="82"/>
      <c r="AJ54" s="82"/>
      <c r="AK54" s="192"/>
      <c r="AL54" s="82"/>
      <c r="AM54" s="82"/>
      <c r="AN54" s="88"/>
    </row>
    <row r="55" spans="1:40" ht="12" hidden="1" customHeight="1" x14ac:dyDescent="0.25">
      <c r="A55" s="79"/>
      <c r="B55" s="80"/>
      <c r="C55" s="82"/>
      <c r="D55" s="82"/>
      <c r="E55" s="80"/>
      <c r="F55" s="82"/>
      <c r="G55" s="82"/>
      <c r="H55" s="82"/>
      <c r="I55" s="82"/>
      <c r="J55" s="82"/>
      <c r="K55" s="82"/>
      <c r="L55" s="82"/>
      <c r="M55" s="82"/>
      <c r="N55" s="82"/>
      <c r="O55" s="81"/>
      <c r="P55" s="82"/>
      <c r="Q55" s="82"/>
      <c r="R55" s="81">
        <v>41426</v>
      </c>
      <c r="S55" s="81">
        <v>41455</v>
      </c>
      <c r="T55" s="82">
        <v>1</v>
      </c>
      <c r="U55" s="83">
        <v>3.63</v>
      </c>
      <c r="V55" s="82"/>
      <c r="W55" s="82"/>
      <c r="X55" s="82"/>
      <c r="Y55" s="83">
        <v>3.63</v>
      </c>
      <c r="Z55" s="84">
        <v>1050000</v>
      </c>
      <c r="AA55" s="84">
        <v>3811500</v>
      </c>
      <c r="AB55" s="82"/>
      <c r="AC55" s="82"/>
      <c r="AD55" s="82"/>
      <c r="AE55" s="82"/>
      <c r="AF55" s="82"/>
      <c r="AG55" s="82"/>
      <c r="AH55" s="82"/>
      <c r="AI55" s="82"/>
      <c r="AJ55" s="82"/>
      <c r="AK55" s="192"/>
      <c r="AL55" s="82"/>
      <c r="AM55" s="82"/>
      <c r="AN55" s="88"/>
    </row>
    <row r="56" spans="1:40" ht="12" hidden="1" customHeight="1" x14ac:dyDescent="0.25">
      <c r="A56" s="79"/>
      <c r="B56" s="80"/>
      <c r="C56" s="82"/>
      <c r="D56" s="82"/>
      <c r="E56" s="80"/>
      <c r="F56" s="82"/>
      <c r="G56" s="82"/>
      <c r="H56" s="82"/>
      <c r="I56" s="82"/>
      <c r="J56" s="82"/>
      <c r="K56" s="82"/>
      <c r="L56" s="82"/>
      <c r="M56" s="82"/>
      <c r="N56" s="82"/>
      <c r="O56" s="81"/>
      <c r="P56" s="82"/>
      <c r="Q56" s="82"/>
      <c r="R56" s="81">
        <v>41456</v>
      </c>
      <c r="S56" s="81">
        <v>42155</v>
      </c>
      <c r="T56" s="82">
        <v>23</v>
      </c>
      <c r="U56" s="83">
        <v>3.63</v>
      </c>
      <c r="V56" s="82"/>
      <c r="W56" s="82"/>
      <c r="X56" s="82"/>
      <c r="Y56" s="83">
        <v>3.63</v>
      </c>
      <c r="Z56" s="84">
        <v>1150000</v>
      </c>
      <c r="AA56" s="84">
        <v>96013500</v>
      </c>
      <c r="AB56" s="82"/>
      <c r="AC56" s="82"/>
      <c r="AD56" s="82"/>
      <c r="AE56" s="82"/>
      <c r="AF56" s="82"/>
      <c r="AG56" s="82"/>
      <c r="AH56" s="82"/>
      <c r="AI56" s="82"/>
      <c r="AJ56" s="82"/>
      <c r="AK56" s="192"/>
      <c r="AL56" s="82"/>
      <c r="AM56" s="82"/>
      <c r="AN56" s="88"/>
    </row>
    <row r="57" spans="1:40" ht="12" hidden="1" customHeight="1" x14ac:dyDescent="0.25">
      <c r="A57" s="79"/>
      <c r="B57" s="80"/>
      <c r="C57" s="82"/>
      <c r="D57" s="82"/>
      <c r="E57" s="80"/>
      <c r="F57" s="82"/>
      <c r="G57" s="82"/>
      <c r="H57" s="82"/>
      <c r="I57" s="82"/>
      <c r="J57" s="82"/>
      <c r="K57" s="82"/>
      <c r="L57" s="82"/>
      <c r="M57" s="82"/>
      <c r="N57" s="82"/>
      <c r="O57" s="81"/>
      <c r="P57" s="82"/>
      <c r="Q57" s="82"/>
      <c r="R57" s="81">
        <v>42156</v>
      </c>
      <c r="S57" s="81">
        <v>42338</v>
      </c>
      <c r="T57" s="82">
        <v>6</v>
      </c>
      <c r="U57" s="83">
        <v>3.63</v>
      </c>
      <c r="V57" s="82"/>
      <c r="W57" s="112">
        <v>0.05</v>
      </c>
      <c r="X57" s="82"/>
      <c r="Y57" s="83">
        <v>3.8114999999999997</v>
      </c>
      <c r="Z57" s="84">
        <v>1150000</v>
      </c>
      <c r="AA57" s="84">
        <v>26299350</v>
      </c>
      <c r="AB57" s="82"/>
      <c r="AC57" s="82"/>
      <c r="AD57" s="82"/>
      <c r="AE57" s="82"/>
      <c r="AF57" s="82"/>
      <c r="AG57" s="82"/>
      <c r="AH57" s="82"/>
      <c r="AI57" s="82"/>
      <c r="AJ57" s="82"/>
      <c r="AK57" s="192"/>
      <c r="AL57" s="82"/>
      <c r="AM57" s="82"/>
      <c r="AN57" s="88"/>
    </row>
    <row r="58" spans="1:40" ht="12" hidden="1" customHeight="1" x14ac:dyDescent="0.25">
      <c r="A58" s="89"/>
      <c r="B58" s="90"/>
      <c r="C58" s="91"/>
      <c r="D58" s="91"/>
      <c r="E58" s="90"/>
      <c r="F58" s="91"/>
      <c r="G58" s="91"/>
      <c r="H58" s="91"/>
      <c r="I58" s="91"/>
      <c r="J58" s="91"/>
      <c r="K58" s="91"/>
      <c r="L58" s="91"/>
      <c r="M58" s="91"/>
      <c r="N58" s="91"/>
      <c r="O58" s="92"/>
      <c r="P58" s="91"/>
      <c r="Q58" s="91"/>
      <c r="R58" s="92"/>
      <c r="S58" s="92"/>
      <c r="T58" s="91">
        <v>60</v>
      </c>
      <c r="U58" s="93"/>
      <c r="V58" s="91"/>
      <c r="W58" s="143"/>
      <c r="X58" s="91"/>
      <c r="Y58" s="93"/>
      <c r="Z58" s="94"/>
      <c r="AA58" s="94">
        <v>219364950</v>
      </c>
      <c r="AB58" s="91"/>
      <c r="AC58" s="91"/>
      <c r="AD58" s="91"/>
      <c r="AE58" s="91"/>
      <c r="AF58" s="91"/>
      <c r="AG58" s="91"/>
      <c r="AH58" s="91"/>
      <c r="AI58" s="91"/>
      <c r="AJ58" s="91"/>
      <c r="AK58" s="193"/>
      <c r="AL58" s="91"/>
      <c r="AM58" s="91"/>
      <c r="AN58" s="95"/>
    </row>
    <row r="59" spans="1:40" ht="49.5" customHeight="1" x14ac:dyDescent="0.25">
      <c r="A59" s="96">
        <v>2</v>
      </c>
      <c r="B59" s="97" t="s">
        <v>183</v>
      </c>
      <c r="C59" s="98">
        <v>27692</v>
      </c>
      <c r="D59" s="99" t="s">
        <v>145</v>
      </c>
      <c r="E59" s="97" t="s">
        <v>230</v>
      </c>
      <c r="F59" s="100">
        <v>4.32</v>
      </c>
      <c r="G59" s="98">
        <v>41395</v>
      </c>
      <c r="H59" s="99"/>
      <c r="I59" s="98"/>
      <c r="J59" s="141" t="s">
        <v>297</v>
      </c>
      <c r="K59" s="98" t="s">
        <v>282</v>
      </c>
      <c r="L59" s="141"/>
      <c r="M59" s="98"/>
      <c r="N59" s="100"/>
      <c r="O59" s="98"/>
      <c r="P59" s="100">
        <v>3.99</v>
      </c>
      <c r="Q59" s="98">
        <v>40299</v>
      </c>
      <c r="R59" s="98">
        <v>40238</v>
      </c>
      <c r="S59" s="98">
        <v>40298</v>
      </c>
      <c r="T59" s="140">
        <v>2</v>
      </c>
      <c r="U59" s="155">
        <v>3.66</v>
      </c>
      <c r="V59" s="140"/>
      <c r="W59" s="140"/>
      <c r="X59" s="140"/>
      <c r="Y59" s="155">
        <v>3.66</v>
      </c>
      <c r="Z59" s="162">
        <v>650000</v>
      </c>
      <c r="AA59" s="101">
        <v>4758000</v>
      </c>
      <c r="AB59" s="103">
        <v>5862240</v>
      </c>
      <c r="AC59" s="225">
        <v>4487608.5999999996</v>
      </c>
      <c r="AD59" s="99" t="s">
        <v>184</v>
      </c>
      <c r="AE59" s="99"/>
      <c r="AF59" s="98">
        <v>42248</v>
      </c>
      <c r="AG59" s="99">
        <v>39</v>
      </c>
      <c r="AH59" s="99">
        <v>10</v>
      </c>
      <c r="AI59" s="99">
        <v>7</v>
      </c>
      <c r="AJ59" s="99" t="s">
        <v>264</v>
      </c>
      <c r="AK59" s="191">
        <v>142117859</v>
      </c>
      <c r="AL59" s="103">
        <v>17586720</v>
      </c>
      <c r="AM59" s="103">
        <v>124531139</v>
      </c>
      <c r="AN59" s="104" t="s">
        <v>319</v>
      </c>
    </row>
    <row r="60" spans="1:40" hidden="1" x14ac:dyDescent="0.25">
      <c r="A60" s="79"/>
      <c r="B60" s="80"/>
      <c r="C60" s="81"/>
      <c r="D60" s="82"/>
      <c r="E60" s="80"/>
      <c r="F60" s="83"/>
      <c r="G60" s="81"/>
      <c r="H60" s="82"/>
      <c r="I60" s="81"/>
      <c r="J60" s="112"/>
      <c r="K60" s="81"/>
      <c r="L60" s="112"/>
      <c r="M60" s="81"/>
      <c r="N60" s="83"/>
      <c r="O60" s="81"/>
      <c r="P60" s="83"/>
      <c r="Q60" s="81"/>
      <c r="R60" s="81">
        <v>40299</v>
      </c>
      <c r="S60" s="81">
        <v>40663</v>
      </c>
      <c r="T60" s="82">
        <v>12</v>
      </c>
      <c r="U60" s="83">
        <v>3.99</v>
      </c>
      <c r="V60" s="82"/>
      <c r="W60" s="82"/>
      <c r="X60" s="82"/>
      <c r="Y60" s="83">
        <v>3.99</v>
      </c>
      <c r="Z60" s="84">
        <v>730000</v>
      </c>
      <c r="AA60" s="84">
        <v>34952400</v>
      </c>
      <c r="AB60" s="85"/>
      <c r="AC60" s="85"/>
      <c r="AD60" s="82"/>
      <c r="AE60" s="82"/>
      <c r="AF60" s="81"/>
      <c r="AG60" s="82"/>
      <c r="AH60" s="82"/>
      <c r="AI60" s="82"/>
      <c r="AJ60" s="82"/>
      <c r="AK60" s="194"/>
      <c r="AL60" s="85"/>
      <c r="AM60" s="85"/>
      <c r="AN60" s="129"/>
    </row>
    <row r="61" spans="1:40" hidden="1" x14ac:dyDescent="0.25">
      <c r="A61" s="79"/>
      <c r="B61" s="80"/>
      <c r="C61" s="82"/>
      <c r="D61" s="82"/>
      <c r="E61" s="80"/>
      <c r="F61" s="82"/>
      <c r="G61" s="82"/>
      <c r="H61" s="82"/>
      <c r="I61" s="82"/>
      <c r="J61" s="112"/>
      <c r="K61" s="81"/>
      <c r="L61" s="82"/>
      <c r="M61" s="82"/>
      <c r="N61" s="82"/>
      <c r="O61" s="81"/>
      <c r="P61" s="82"/>
      <c r="Q61" s="81"/>
      <c r="R61" s="81">
        <v>40664</v>
      </c>
      <c r="S61" s="81">
        <v>41029</v>
      </c>
      <c r="T61" s="82">
        <v>12</v>
      </c>
      <c r="U61" s="83">
        <v>3.99</v>
      </c>
      <c r="V61" s="82"/>
      <c r="W61" s="82"/>
      <c r="X61" s="112">
        <v>0.14000000000000001</v>
      </c>
      <c r="Y61" s="83">
        <v>4.5486000000000004</v>
      </c>
      <c r="Z61" s="84">
        <v>830000</v>
      </c>
      <c r="AA61" s="84">
        <v>45304056.000000007</v>
      </c>
      <c r="AB61" s="82"/>
      <c r="AC61" s="82"/>
      <c r="AD61" s="82"/>
      <c r="AE61" s="82"/>
      <c r="AF61" s="82"/>
      <c r="AG61" s="82"/>
      <c r="AH61" s="82"/>
      <c r="AI61" s="82"/>
      <c r="AJ61" s="82"/>
      <c r="AK61" s="192"/>
      <c r="AL61" s="82"/>
      <c r="AM61" s="85"/>
      <c r="AN61" s="129"/>
    </row>
    <row r="62" spans="1:40" hidden="1" x14ac:dyDescent="0.25">
      <c r="A62" s="79"/>
      <c r="B62" s="80"/>
      <c r="C62" s="82"/>
      <c r="D62" s="82"/>
      <c r="E62" s="80"/>
      <c r="F62" s="82"/>
      <c r="G62" s="82"/>
      <c r="H62" s="82"/>
      <c r="I62" s="82"/>
      <c r="J62" s="112"/>
      <c r="K62" s="81"/>
      <c r="L62" s="82"/>
      <c r="M62" s="82"/>
      <c r="N62" s="82"/>
      <c r="O62" s="81"/>
      <c r="P62" s="82"/>
      <c r="Q62" s="82"/>
      <c r="R62" s="81">
        <v>41030</v>
      </c>
      <c r="S62" s="81">
        <v>41394</v>
      </c>
      <c r="T62" s="82">
        <v>12</v>
      </c>
      <c r="U62" s="83">
        <v>3.99</v>
      </c>
      <c r="V62" s="82"/>
      <c r="W62" s="82"/>
      <c r="X62" s="112">
        <v>0.15</v>
      </c>
      <c r="Y62" s="83">
        <v>4.5884999999999998</v>
      </c>
      <c r="Z62" s="84">
        <v>1050000</v>
      </c>
      <c r="AA62" s="84">
        <v>57815100</v>
      </c>
      <c r="AB62" s="85"/>
      <c r="AC62" s="85"/>
      <c r="AD62" s="82"/>
      <c r="AE62" s="82"/>
      <c r="AF62" s="82"/>
      <c r="AG62" s="82"/>
      <c r="AH62" s="82"/>
      <c r="AI62" s="82"/>
      <c r="AJ62" s="82"/>
      <c r="AK62" s="192"/>
      <c r="AL62" s="82"/>
      <c r="AM62" s="82"/>
      <c r="AN62" s="129"/>
    </row>
    <row r="63" spans="1:40" hidden="1" x14ac:dyDescent="0.25">
      <c r="A63" s="79"/>
      <c r="B63" s="80"/>
      <c r="C63" s="82"/>
      <c r="D63" s="82"/>
      <c r="E63" s="80"/>
      <c r="F63" s="82"/>
      <c r="G63" s="82"/>
      <c r="H63" s="82"/>
      <c r="I63" s="82"/>
      <c r="J63" s="112"/>
      <c r="K63" s="81"/>
      <c r="L63" s="82"/>
      <c r="M63" s="82"/>
      <c r="N63" s="82"/>
      <c r="O63" s="81"/>
      <c r="P63" s="82"/>
      <c r="Q63" s="82"/>
      <c r="R63" s="81">
        <v>41395</v>
      </c>
      <c r="S63" s="81">
        <v>41455</v>
      </c>
      <c r="T63" s="82">
        <v>2</v>
      </c>
      <c r="U63" s="83">
        <v>4.32</v>
      </c>
      <c r="V63" s="82"/>
      <c r="W63" s="82"/>
      <c r="X63" s="112">
        <v>0.16</v>
      </c>
      <c r="Y63" s="83">
        <v>5.0112000000000005</v>
      </c>
      <c r="Z63" s="84">
        <v>1050000</v>
      </c>
      <c r="AA63" s="84">
        <v>10523520.000000002</v>
      </c>
      <c r="AB63" s="82"/>
      <c r="AC63" s="82"/>
      <c r="AD63" s="82"/>
      <c r="AE63" s="82"/>
      <c r="AF63" s="82"/>
      <c r="AG63" s="82"/>
      <c r="AH63" s="82"/>
      <c r="AI63" s="82"/>
      <c r="AJ63" s="82"/>
      <c r="AK63" s="192"/>
      <c r="AL63" s="82"/>
      <c r="AM63" s="82"/>
      <c r="AN63" s="129"/>
    </row>
    <row r="64" spans="1:40" hidden="1" x14ac:dyDescent="0.25">
      <c r="A64" s="79"/>
      <c r="B64" s="80"/>
      <c r="C64" s="82"/>
      <c r="D64" s="82"/>
      <c r="E64" s="80"/>
      <c r="F64" s="82"/>
      <c r="G64" s="82"/>
      <c r="H64" s="82"/>
      <c r="I64" s="82"/>
      <c r="J64" s="112"/>
      <c r="K64" s="81"/>
      <c r="L64" s="82"/>
      <c r="M64" s="82"/>
      <c r="N64" s="82"/>
      <c r="O64" s="81"/>
      <c r="P64" s="82"/>
      <c r="Q64" s="82"/>
      <c r="R64" s="81">
        <v>41456</v>
      </c>
      <c r="S64" s="81">
        <v>41759</v>
      </c>
      <c r="T64" s="82">
        <v>10</v>
      </c>
      <c r="U64" s="83">
        <v>4.32</v>
      </c>
      <c r="V64" s="82"/>
      <c r="W64" s="82"/>
      <c r="X64" s="112">
        <v>0.16</v>
      </c>
      <c r="Y64" s="83">
        <v>5.0112000000000005</v>
      </c>
      <c r="Z64" s="84">
        <v>1150000</v>
      </c>
      <c r="AA64" s="84">
        <v>57628800.000000007</v>
      </c>
      <c r="AB64" s="82"/>
      <c r="AC64" s="82"/>
      <c r="AD64" s="82"/>
      <c r="AE64" s="82"/>
      <c r="AF64" s="82"/>
      <c r="AG64" s="82"/>
      <c r="AH64" s="82"/>
      <c r="AI64" s="82"/>
      <c r="AJ64" s="82"/>
      <c r="AK64" s="192"/>
      <c r="AL64" s="82"/>
      <c r="AM64" s="82"/>
      <c r="AN64" s="129"/>
    </row>
    <row r="65" spans="1:40" hidden="1" x14ac:dyDescent="0.25">
      <c r="A65" s="79"/>
      <c r="B65" s="80"/>
      <c r="C65" s="82"/>
      <c r="D65" s="82"/>
      <c r="E65" s="80"/>
      <c r="F65" s="82"/>
      <c r="G65" s="82"/>
      <c r="H65" s="82"/>
      <c r="I65" s="82"/>
      <c r="J65" s="82"/>
      <c r="K65" s="82"/>
      <c r="L65" s="82"/>
      <c r="M65" s="82"/>
      <c r="N65" s="82"/>
      <c r="O65" s="81"/>
      <c r="P65" s="82"/>
      <c r="Q65" s="82"/>
      <c r="R65" s="81">
        <v>41760</v>
      </c>
      <c r="S65" s="81">
        <v>41912</v>
      </c>
      <c r="T65" s="82">
        <v>5</v>
      </c>
      <c r="U65" s="83">
        <v>4.32</v>
      </c>
      <c r="V65" s="82"/>
      <c r="W65" s="82"/>
      <c r="X65" s="112">
        <v>0.17</v>
      </c>
      <c r="Y65" s="83">
        <v>5.0544000000000002</v>
      </c>
      <c r="Z65" s="84">
        <v>1150000</v>
      </c>
      <c r="AA65" s="84">
        <v>29062800.000000004</v>
      </c>
      <c r="AB65" s="82"/>
      <c r="AC65" s="82"/>
      <c r="AD65" s="82"/>
      <c r="AE65" s="82"/>
      <c r="AF65" s="82"/>
      <c r="AG65" s="82"/>
      <c r="AH65" s="82"/>
      <c r="AI65" s="82"/>
      <c r="AJ65" s="82"/>
      <c r="AK65" s="192"/>
      <c r="AL65" s="82"/>
      <c r="AM65" s="82"/>
      <c r="AN65" s="129"/>
    </row>
    <row r="66" spans="1:40" hidden="1" x14ac:dyDescent="0.25">
      <c r="A66" s="79"/>
      <c r="B66" s="80"/>
      <c r="C66" s="82"/>
      <c r="D66" s="82"/>
      <c r="E66" s="80"/>
      <c r="F66" s="82"/>
      <c r="G66" s="82"/>
      <c r="H66" s="82"/>
      <c r="I66" s="82"/>
      <c r="J66" s="82"/>
      <c r="K66" s="82"/>
      <c r="L66" s="82"/>
      <c r="M66" s="82"/>
      <c r="N66" s="82"/>
      <c r="O66" s="81"/>
      <c r="P66" s="82"/>
      <c r="Q66" s="82"/>
      <c r="R66" s="81">
        <v>42005</v>
      </c>
      <c r="S66" s="81">
        <v>42035</v>
      </c>
      <c r="T66" s="82">
        <v>1</v>
      </c>
      <c r="U66" s="83">
        <v>4.32</v>
      </c>
      <c r="V66" s="82"/>
      <c r="W66" s="82"/>
      <c r="X66" s="112">
        <v>0.17</v>
      </c>
      <c r="Y66" s="83">
        <v>5.0544000000000002</v>
      </c>
      <c r="Z66" s="84">
        <v>1150000</v>
      </c>
      <c r="AA66" s="84">
        <v>5812560</v>
      </c>
      <c r="AB66" s="82"/>
      <c r="AC66" s="82"/>
      <c r="AD66" s="82"/>
      <c r="AE66" s="82"/>
      <c r="AF66" s="82"/>
      <c r="AG66" s="82"/>
      <c r="AH66" s="82"/>
      <c r="AI66" s="82"/>
      <c r="AJ66" s="82"/>
      <c r="AK66" s="192"/>
      <c r="AL66" s="82"/>
      <c r="AM66" s="82"/>
      <c r="AN66" s="129"/>
    </row>
    <row r="67" spans="1:40" hidden="1" x14ac:dyDescent="0.25">
      <c r="A67" s="79"/>
      <c r="B67" s="80"/>
      <c r="C67" s="82"/>
      <c r="D67" s="82"/>
      <c r="E67" s="80"/>
      <c r="F67" s="82"/>
      <c r="G67" s="82"/>
      <c r="H67" s="82"/>
      <c r="I67" s="82"/>
      <c r="J67" s="82"/>
      <c r="K67" s="82"/>
      <c r="L67" s="82"/>
      <c r="M67" s="82"/>
      <c r="N67" s="82"/>
      <c r="O67" s="81"/>
      <c r="P67" s="82"/>
      <c r="Q67" s="82"/>
      <c r="R67" s="81">
        <v>42064</v>
      </c>
      <c r="S67" s="81">
        <v>42094</v>
      </c>
      <c r="T67" s="82">
        <v>1</v>
      </c>
      <c r="U67" s="83">
        <v>4.32</v>
      </c>
      <c r="V67" s="82"/>
      <c r="W67" s="82"/>
      <c r="X67" s="112">
        <v>0.17</v>
      </c>
      <c r="Y67" s="83">
        <v>5.0544000000000002</v>
      </c>
      <c r="Z67" s="84">
        <v>1150000</v>
      </c>
      <c r="AA67" s="84">
        <v>5812560</v>
      </c>
      <c r="AB67" s="82"/>
      <c r="AC67" s="82"/>
      <c r="AD67" s="82"/>
      <c r="AE67" s="82"/>
      <c r="AF67" s="82"/>
      <c r="AG67" s="82"/>
      <c r="AH67" s="82"/>
      <c r="AI67" s="82"/>
      <c r="AJ67" s="82"/>
      <c r="AK67" s="192"/>
      <c r="AL67" s="82"/>
      <c r="AM67" s="82"/>
      <c r="AN67" s="129"/>
    </row>
    <row r="68" spans="1:40" hidden="1" x14ac:dyDescent="0.25">
      <c r="A68" s="79"/>
      <c r="B68" s="80"/>
      <c r="C68" s="82"/>
      <c r="D68" s="82"/>
      <c r="E68" s="80"/>
      <c r="F68" s="82"/>
      <c r="G68" s="82"/>
      <c r="H68" s="82"/>
      <c r="I68" s="82"/>
      <c r="J68" s="82"/>
      <c r="K68" s="82"/>
      <c r="L68" s="82"/>
      <c r="M68" s="82"/>
      <c r="N68" s="82"/>
      <c r="O68" s="81"/>
      <c r="P68" s="82"/>
      <c r="Q68" s="82"/>
      <c r="R68" s="81">
        <v>42156</v>
      </c>
      <c r="S68" s="81">
        <v>42247</v>
      </c>
      <c r="T68" s="82">
        <v>3</v>
      </c>
      <c r="U68" s="83">
        <v>4.32</v>
      </c>
      <c r="V68" s="82"/>
      <c r="W68" s="82"/>
      <c r="X68" s="112">
        <v>0.18</v>
      </c>
      <c r="Y68" s="83">
        <v>5.0975999999999999</v>
      </c>
      <c r="Z68" s="84">
        <v>1150000</v>
      </c>
      <c r="AA68" s="84">
        <v>17586720</v>
      </c>
      <c r="AB68" s="82"/>
      <c r="AC68" s="82"/>
      <c r="AD68" s="82"/>
      <c r="AE68" s="82"/>
      <c r="AF68" s="82"/>
      <c r="AG68" s="82"/>
      <c r="AH68" s="82"/>
      <c r="AI68" s="82"/>
      <c r="AJ68" s="82"/>
      <c r="AK68" s="192"/>
      <c r="AL68" s="82"/>
      <c r="AM68" s="82"/>
      <c r="AN68" s="129"/>
    </row>
    <row r="69" spans="1:40" ht="15.75" hidden="1" thickBot="1" x14ac:dyDescent="0.3">
      <c r="A69" s="105"/>
      <c r="B69" s="106"/>
      <c r="C69" s="107"/>
      <c r="D69" s="107"/>
      <c r="E69" s="106"/>
      <c r="F69" s="107"/>
      <c r="G69" s="107"/>
      <c r="H69" s="107"/>
      <c r="I69" s="107"/>
      <c r="J69" s="107"/>
      <c r="K69" s="107"/>
      <c r="L69" s="107"/>
      <c r="M69" s="107"/>
      <c r="N69" s="107"/>
      <c r="O69" s="108"/>
      <c r="P69" s="107"/>
      <c r="Q69" s="107"/>
      <c r="R69" s="108"/>
      <c r="S69" s="108"/>
      <c r="T69" s="82">
        <v>60</v>
      </c>
      <c r="U69" s="83"/>
      <c r="V69" s="81"/>
      <c r="W69" s="81"/>
      <c r="X69" s="81"/>
      <c r="Y69" s="83"/>
      <c r="Z69" s="84"/>
      <c r="AA69" s="110">
        <v>269256516</v>
      </c>
      <c r="AB69" s="107"/>
      <c r="AC69" s="107"/>
      <c r="AD69" s="107"/>
      <c r="AE69" s="107"/>
      <c r="AF69" s="107"/>
      <c r="AG69" s="107"/>
      <c r="AH69" s="107"/>
      <c r="AI69" s="107"/>
      <c r="AJ69" s="107"/>
      <c r="AK69" s="196"/>
      <c r="AL69" s="107"/>
      <c r="AM69" s="107"/>
      <c r="AN69" s="130"/>
    </row>
    <row r="70" spans="1:40" ht="19.5" customHeight="1" thickBot="1" x14ac:dyDescent="0.3">
      <c r="A70" s="131"/>
      <c r="B70" s="180" t="s">
        <v>38</v>
      </c>
      <c r="C70" s="215" t="s">
        <v>374</v>
      </c>
      <c r="D70" s="132"/>
      <c r="E70" s="135"/>
      <c r="F70" s="132"/>
      <c r="G70" s="132"/>
      <c r="H70" s="132"/>
      <c r="I70" s="132"/>
      <c r="J70" s="132"/>
      <c r="K70" s="132"/>
      <c r="L70" s="132"/>
      <c r="M70" s="132"/>
      <c r="N70" s="132"/>
      <c r="O70" s="126"/>
      <c r="P70" s="132"/>
      <c r="Q70" s="132"/>
      <c r="R70" s="126"/>
      <c r="S70" s="132"/>
      <c r="T70" s="107"/>
      <c r="U70" s="166"/>
      <c r="V70" s="167"/>
      <c r="W70" s="168"/>
      <c r="X70" s="107"/>
      <c r="Y70" s="109"/>
      <c r="Z70" s="110"/>
      <c r="AA70" s="133"/>
      <c r="AB70" s="132"/>
      <c r="AC70" s="132"/>
      <c r="AD70" s="132"/>
      <c r="AE70" s="132"/>
      <c r="AF70" s="132"/>
      <c r="AG70" s="132"/>
      <c r="AH70" s="132"/>
      <c r="AI70" s="132"/>
      <c r="AJ70" s="132"/>
      <c r="AK70" s="197">
        <v>1011771103</v>
      </c>
      <c r="AL70" s="202">
        <v>97045395</v>
      </c>
      <c r="AM70" s="202">
        <v>914725708</v>
      </c>
      <c r="AN70" s="134"/>
    </row>
    <row r="71" spans="1:40" ht="15" hidden="1" customHeight="1" x14ac:dyDescent="0.25">
      <c r="A71" s="7"/>
    </row>
    <row r="72" spans="1:40" ht="16.5" hidden="1" customHeight="1" x14ac:dyDescent="0.25">
      <c r="A72" s="8"/>
      <c r="B72" s="9"/>
      <c r="AF72" s="630" t="s">
        <v>133</v>
      </c>
      <c r="AG72" s="630"/>
      <c r="AH72" s="630"/>
      <c r="AI72" s="630"/>
      <c r="AJ72" s="630"/>
      <c r="AK72" s="630"/>
      <c r="AL72" s="630"/>
      <c r="AM72" s="630"/>
      <c r="AN72" s="630"/>
    </row>
    <row r="73" spans="1:40" ht="18.75" hidden="1" customHeight="1" x14ac:dyDescent="0.3">
      <c r="A73" s="59" t="s">
        <v>39</v>
      </c>
      <c r="B73" s="10"/>
      <c r="AF73" s="631" t="s">
        <v>131</v>
      </c>
      <c r="AG73" s="631"/>
      <c r="AH73" s="631"/>
      <c r="AI73" s="631"/>
      <c r="AJ73" s="631"/>
      <c r="AK73" s="631"/>
      <c r="AL73" s="631"/>
      <c r="AM73" s="631"/>
      <c r="AN73" s="631"/>
    </row>
    <row r="74" spans="1:40" ht="15" hidden="1" customHeight="1" x14ac:dyDescent="0.25">
      <c r="A74" s="60" t="s">
        <v>40</v>
      </c>
      <c r="B74" s="11"/>
    </row>
    <row r="75" spans="1:40" ht="15" hidden="1" customHeight="1" x14ac:dyDescent="0.25">
      <c r="A75" s="60" t="s">
        <v>41</v>
      </c>
      <c r="B75" s="12"/>
    </row>
    <row r="76" spans="1:40" ht="15" hidden="1" customHeight="1" x14ac:dyDescent="0.25">
      <c r="A76" s="60"/>
      <c r="B76" s="12"/>
    </row>
    <row r="77" spans="1:40" ht="15" hidden="1" customHeight="1" x14ac:dyDescent="0.25">
      <c r="A77" s="13"/>
    </row>
    <row r="78" spans="1:40" ht="15" hidden="1" customHeight="1" x14ac:dyDescent="0.25">
      <c r="A78" s="7"/>
    </row>
    <row r="79" spans="1:40" ht="18.75" hidden="1" customHeight="1" x14ac:dyDescent="0.3">
      <c r="A79" s="13"/>
      <c r="AF79" s="632" t="s">
        <v>132</v>
      </c>
      <c r="AG79" s="632"/>
      <c r="AH79" s="632"/>
      <c r="AI79" s="632"/>
      <c r="AJ79" s="632"/>
      <c r="AK79" s="632"/>
      <c r="AL79" s="632"/>
      <c r="AM79" s="632"/>
      <c r="AN79" s="632"/>
    </row>
    <row r="80" spans="1:40" hidden="1" x14ac:dyDescent="0.25">
      <c r="A80" s="13" t="s">
        <v>42</v>
      </c>
    </row>
    <row r="81" spans="1:10" hidden="1" x14ac:dyDescent="0.25">
      <c r="A81" s="7" t="s">
        <v>43</v>
      </c>
      <c r="B81" s="18"/>
    </row>
    <row r="82" spans="1:10" hidden="1" x14ac:dyDescent="0.25">
      <c r="A82" s="7" t="s">
        <v>60</v>
      </c>
      <c r="B82" s="18"/>
      <c r="J82" s="7" t="s">
        <v>59</v>
      </c>
    </row>
    <row r="83" spans="1:10" hidden="1" x14ac:dyDescent="0.25">
      <c r="A83" s="7" t="s">
        <v>54</v>
      </c>
      <c r="B83" s="18"/>
      <c r="J83" s="7" t="s">
        <v>61</v>
      </c>
    </row>
    <row r="84" spans="1:10" hidden="1" x14ac:dyDescent="0.25">
      <c r="A84" s="7" t="s">
        <v>55</v>
      </c>
      <c r="B84" s="18"/>
      <c r="G84" s="18"/>
      <c r="J84" s="7" t="s">
        <v>62</v>
      </c>
    </row>
  </sheetData>
  <mergeCells count="32">
    <mergeCell ref="P7:Q7"/>
    <mergeCell ref="R7:AA7"/>
    <mergeCell ref="AB7:AB8"/>
    <mergeCell ref="AF73:AN73"/>
    <mergeCell ref="AF79:AN79"/>
    <mergeCell ref="AF7:AF8"/>
    <mergeCell ref="AG7:AI7"/>
    <mergeCell ref="AJ7:AJ8"/>
    <mergeCell ref="AK7:AM7"/>
    <mergeCell ref="AN7:AN8"/>
    <mergeCell ref="AF72:AN72"/>
    <mergeCell ref="A5:AN5"/>
    <mergeCell ref="AK3:AN3"/>
    <mergeCell ref="A3:D3"/>
    <mergeCell ref="A6:AN6"/>
    <mergeCell ref="A7:A8"/>
    <mergeCell ref="B7:B8"/>
    <mergeCell ref="C7:C8"/>
    <mergeCell ref="D7:D8"/>
    <mergeCell ref="E7:E8"/>
    <mergeCell ref="F7:G7"/>
    <mergeCell ref="H7:I7"/>
    <mergeCell ref="J7:K7"/>
    <mergeCell ref="L7:M7"/>
    <mergeCell ref="AC7:AC8"/>
    <mergeCell ref="AD7:AE7"/>
    <mergeCell ref="N7:O7"/>
    <mergeCell ref="A1:D1"/>
    <mergeCell ref="AK1:AN1"/>
    <mergeCell ref="A2:D2"/>
    <mergeCell ref="AK2:AN2"/>
    <mergeCell ref="A4:AN4"/>
  </mergeCells>
  <phoneticPr fontId="22" type="noConversion"/>
  <pageMargins left="0.16" right="0.16" top="0.22" bottom="0.16" header="0.22" footer="0.16"/>
  <pageSetup paperSize="9" scale="7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36"/>
  <sheetViews>
    <sheetView topLeftCell="B21" zoomScaleNormal="100" workbookViewId="0">
      <selection activeCell="F21" sqref="F21"/>
    </sheetView>
  </sheetViews>
  <sheetFormatPr defaultRowHeight="15" x14ac:dyDescent="0.25"/>
  <cols>
    <col min="1" max="1" width="6.140625" hidden="1" customWidth="1"/>
    <col min="2" max="2" width="3.28515625" customWidth="1"/>
    <col min="3" max="3" width="20.7109375" customWidth="1"/>
    <col min="4" max="4" width="10.42578125" style="571" customWidth="1"/>
    <col min="5" max="5" width="9.140625" hidden="1" customWidth="1"/>
    <col min="6" max="6" width="5.85546875" customWidth="1"/>
    <col min="7" max="7" width="20.42578125" customWidth="1"/>
    <col min="8" max="8" width="9.140625" customWidth="1"/>
    <col min="9" max="9" width="10.85546875" customWidth="1"/>
    <col min="10" max="10" width="4.28515625" customWidth="1"/>
    <col min="11" max="11" width="11.42578125" customWidth="1"/>
    <col min="12" max="12" width="6.140625" customWidth="1"/>
    <col min="13" max="13" width="9.7109375" customWidth="1"/>
    <col min="14" max="14" width="4.28515625" customWidth="1"/>
    <col min="15" max="15" width="11.28515625" customWidth="1"/>
    <col min="16" max="16" width="3.7109375" customWidth="1"/>
    <col min="17" max="17" width="9.140625" customWidth="1"/>
    <col min="18" max="18" width="7.28515625" customWidth="1"/>
    <col min="19" max="19" width="10" customWidth="1"/>
    <col min="20" max="20" width="11.7109375" style="358" customWidth="1"/>
    <col min="21" max="21" width="12.28515625" style="359" customWidth="1"/>
    <col min="22" max="22" width="6.7109375" customWidth="1"/>
    <col min="23" max="23" width="10" customWidth="1"/>
    <col min="24" max="24" width="10.28515625" style="20" customWidth="1"/>
    <col min="25" max="25" width="6.5703125" customWidth="1"/>
    <col min="26" max="26" width="3.7109375" customWidth="1"/>
    <col min="27" max="27" width="6.7109375" customWidth="1"/>
    <col min="28" max="28" width="3.85546875" customWidth="1"/>
    <col min="29" max="29" width="4" customWidth="1"/>
    <col min="30" max="30" width="13.7109375" style="77" customWidth="1"/>
    <col min="31" max="31" width="11.5703125" customWidth="1"/>
    <col min="32" max="32" width="13.7109375" style="360" customWidth="1"/>
    <col min="33" max="33" width="27.5703125" customWidth="1"/>
    <col min="35" max="37" width="15.5703125" hidden="1" customWidth="1"/>
    <col min="38" max="38" width="12.5703125" bestFit="1" customWidth="1"/>
  </cols>
  <sheetData>
    <row r="1" spans="1:256" s="217" customFormat="1" ht="15.75" x14ac:dyDescent="0.25">
      <c r="B1" s="652"/>
      <c r="C1" s="652"/>
      <c r="D1" s="652"/>
      <c r="E1" s="652"/>
      <c r="F1" s="652"/>
      <c r="G1" s="216"/>
      <c r="H1" s="216"/>
      <c r="I1" s="216"/>
      <c r="J1" s="216"/>
      <c r="K1" s="216"/>
      <c r="L1" s="216"/>
      <c r="M1" s="216"/>
      <c r="N1" s="216"/>
      <c r="O1" s="216"/>
      <c r="P1" s="216"/>
      <c r="Q1" s="216"/>
      <c r="R1" s="216"/>
      <c r="S1" s="216"/>
      <c r="T1" s="287"/>
      <c r="U1" s="288"/>
      <c r="V1" s="216"/>
      <c r="W1" s="216"/>
      <c r="X1" s="289"/>
      <c r="Y1" s="653" t="s">
        <v>327</v>
      </c>
      <c r="Z1" s="653"/>
      <c r="AA1" s="653"/>
      <c r="AB1" s="653"/>
      <c r="AC1" s="653"/>
      <c r="AD1" s="653"/>
      <c r="AE1" s="653"/>
      <c r="AF1" s="653"/>
      <c r="AG1" s="653"/>
      <c r="AH1" s="216"/>
      <c r="AI1" s="216"/>
      <c r="AJ1" s="216"/>
      <c r="AK1" s="216"/>
      <c r="AL1" s="216"/>
      <c r="AM1" s="216"/>
      <c r="AN1" s="216"/>
      <c r="AO1" s="216"/>
      <c r="AP1" s="216"/>
      <c r="AQ1" s="216"/>
      <c r="AR1" s="216"/>
    </row>
    <row r="2" spans="1:256" s="290" customFormat="1" ht="18.75" hidden="1" x14ac:dyDescent="0.3">
      <c r="B2" s="654" t="s">
        <v>232</v>
      </c>
      <c r="C2" s="654"/>
      <c r="D2" s="654"/>
      <c r="E2" s="654"/>
      <c r="F2" s="654"/>
      <c r="G2" s="291"/>
      <c r="H2" s="291"/>
      <c r="I2" s="291"/>
      <c r="J2" s="291"/>
      <c r="K2" s="291"/>
      <c r="L2" s="291"/>
      <c r="M2" s="291"/>
      <c r="N2" s="291"/>
      <c r="O2" s="291"/>
      <c r="P2" s="291"/>
      <c r="Q2" s="453"/>
      <c r="R2" s="453"/>
      <c r="S2" s="453"/>
      <c r="T2" s="453"/>
      <c r="U2" s="453"/>
      <c r="V2" s="453"/>
      <c r="W2" s="453"/>
      <c r="X2" s="655" t="s">
        <v>383</v>
      </c>
      <c r="Y2" s="655"/>
      <c r="Z2" s="655"/>
      <c r="AA2" s="655"/>
      <c r="AB2" s="655"/>
      <c r="AC2" s="655"/>
      <c r="AD2" s="655"/>
      <c r="AE2" s="655"/>
      <c r="AF2" s="655"/>
      <c r="AG2" s="655"/>
      <c r="AH2" s="291"/>
      <c r="AI2" s="291"/>
      <c r="AJ2" s="291"/>
      <c r="AK2" s="291"/>
      <c r="AL2" s="291"/>
      <c r="AM2" s="291"/>
      <c r="AN2" s="291"/>
      <c r="AO2" s="291"/>
      <c r="AP2" s="291"/>
      <c r="AQ2" s="291"/>
      <c r="AR2" s="291"/>
    </row>
    <row r="3" spans="1:256" s="290" customFormat="1" ht="18.75" hidden="1" x14ac:dyDescent="0.3">
      <c r="B3" s="656" t="s">
        <v>233</v>
      </c>
      <c r="C3" s="656"/>
      <c r="D3" s="656"/>
      <c r="E3" s="656"/>
      <c r="F3" s="656"/>
      <c r="G3" s="291"/>
      <c r="H3" s="291"/>
      <c r="I3" s="291"/>
      <c r="J3" s="291"/>
      <c r="K3" s="291"/>
      <c r="L3" s="291"/>
      <c r="M3" s="291"/>
      <c r="N3" s="291"/>
      <c r="O3" s="291"/>
      <c r="P3" s="291"/>
      <c r="Q3" s="454"/>
      <c r="R3" s="454"/>
      <c r="S3" s="454"/>
      <c r="T3" s="454"/>
      <c r="U3" s="454"/>
      <c r="V3" s="454"/>
      <c r="W3" s="454"/>
      <c r="X3" s="656" t="s">
        <v>384</v>
      </c>
      <c r="Y3" s="656"/>
      <c r="Z3" s="656"/>
      <c r="AA3" s="656"/>
      <c r="AB3" s="656"/>
      <c r="AC3" s="656"/>
      <c r="AD3" s="656"/>
      <c r="AE3" s="656"/>
      <c r="AF3" s="656"/>
      <c r="AG3" s="656"/>
      <c r="AH3" s="291"/>
      <c r="AI3" s="291"/>
      <c r="AJ3" s="291"/>
      <c r="AK3" s="291"/>
      <c r="AL3" s="291"/>
      <c r="AM3" s="291"/>
      <c r="AN3" s="291"/>
      <c r="AO3" s="291"/>
      <c r="AP3" s="291"/>
      <c r="AQ3" s="291"/>
      <c r="AR3" s="291"/>
    </row>
    <row r="4" spans="1:256" s="290" customFormat="1" ht="18.75" x14ac:dyDescent="0.3">
      <c r="B4" s="655" t="s">
        <v>498</v>
      </c>
      <c r="C4" s="655"/>
      <c r="D4" s="655"/>
      <c r="E4" s="655"/>
      <c r="F4" s="655"/>
      <c r="G4" s="291"/>
      <c r="H4" s="291"/>
      <c r="I4" s="291"/>
      <c r="J4" s="291"/>
      <c r="K4" s="291"/>
      <c r="L4" s="291"/>
      <c r="M4" s="291"/>
      <c r="N4" s="291"/>
      <c r="O4" s="291"/>
      <c r="P4" s="291"/>
      <c r="Q4" s="453"/>
      <c r="R4" s="453"/>
      <c r="S4" s="453"/>
      <c r="T4" s="453"/>
      <c r="U4" s="453"/>
      <c r="V4" s="453"/>
      <c r="W4" s="655" t="s">
        <v>383</v>
      </c>
      <c r="X4" s="655"/>
      <c r="Y4" s="655"/>
      <c r="Z4" s="655"/>
      <c r="AA4" s="655"/>
      <c r="AB4" s="655"/>
      <c r="AC4" s="655"/>
      <c r="AD4" s="655"/>
      <c r="AE4" s="655"/>
      <c r="AF4" s="655"/>
      <c r="AG4" s="655"/>
      <c r="AH4" s="291"/>
      <c r="AI4" s="291"/>
      <c r="AJ4" s="291"/>
      <c r="AK4" s="291"/>
      <c r="AL4" s="291"/>
      <c r="AM4" s="291"/>
      <c r="AN4" s="291"/>
      <c r="AO4" s="291"/>
      <c r="AP4" s="291"/>
      <c r="AQ4" s="291"/>
      <c r="AR4" s="291"/>
    </row>
    <row r="5" spans="1:256" s="290" customFormat="1" ht="18.75" x14ac:dyDescent="0.3">
      <c r="B5" s="656" t="s">
        <v>135</v>
      </c>
      <c r="C5" s="656"/>
      <c r="D5" s="656"/>
      <c r="E5" s="656"/>
      <c r="F5" s="656"/>
      <c r="G5" s="291"/>
      <c r="H5" s="291"/>
      <c r="I5" s="291"/>
      <c r="J5" s="291"/>
      <c r="K5" s="291"/>
      <c r="L5" s="291"/>
      <c r="M5" s="291"/>
      <c r="N5" s="291"/>
      <c r="O5" s="291"/>
      <c r="P5" s="291"/>
      <c r="Q5" s="454"/>
      <c r="R5" s="454"/>
      <c r="S5" s="454"/>
      <c r="T5" s="454"/>
      <c r="U5" s="454"/>
      <c r="V5" s="454"/>
      <c r="W5" s="656" t="s">
        <v>384</v>
      </c>
      <c r="X5" s="656"/>
      <c r="Y5" s="656"/>
      <c r="Z5" s="656"/>
      <c r="AA5" s="656"/>
      <c r="AB5" s="656"/>
      <c r="AC5" s="656"/>
      <c r="AD5" s="656"/>
      <c r="AE5" s="656"/>
      <c r="AF5" s="656"/>
      <c r="AG5" s="656"/>
      <c r="AH5" s="291"/>
      <c r="AI5" s="291"/>
      <c r="AJ5" s="291"/>
      <c r="AK5" s="291"/>
      <c r="AL5" s="291"/>
      <c r="AM5" s="291"/>
      <c r="AN5" s="291"/>
      <c r="AO5" s="291"/>
      <c r="AP5" s="291"/>
      <c r="AQ5" s="291"/>
      <c r="AR5" s="291"/>
    </row>
    <row r="6" spans="1:256" s="290" customFormat="1" ht="15.75" customHeight="1" x14ac:dyDescent="0.3">
      <c r="B6" s="292"/>
      <c r="C6" s="292"/>
      <c r="D6" s="566"/>
      <c r="E6" s="292"/>
      <c r="F6" s="292"/>
      <c r="G6" s="291"/>
      <c r="H6" s="291"/>
      <c r="I6" s="291"/>
      <c r="J6" s="291"/>
      <c r="K6" s="291"/>
      <c r="L6" s="291"/>
      <c r="M6" s="291"/>
      <c r="N6" s="291"/>
      <c r="O6" s="291"/>
      <c r="P6" s="291"/>
      <c r="Q6" s="291"/>
      <c r="R6" s="291"/>
      <c r="S6" s="291"/>
      <c r="T6" s="293"/>
      <c r="U6" s="294"/>
      <c r="V6" s="291"/>
      <c r="W6" s="291"/>
      <c r="X6" s="295"/>
      <c r="Y6" s="292"/>
      <c r="Z6" s="292"/>
      <c r="AA6" s="292"/>
      <c r="AB6" s="292"/>
      <c r="AC6" s="292"/>
      <c r="AD6" s="292"/>
      <c r="AE6" s="292"/>
      <c r="AF6" s="292"/>
      <c r="AG6" s="292"/>
      <c r="AH6" s="291"/>
      <c r="AI6" s="291"/>
      <c r="AJ6" s="291"/>
      <c r="AK6" s="291"/>
      <c r="AL6" s="291"/>
      <c r="AM6" s="291"/>
      <c r="AN6" s="291"/>
      <c r="AO6" s="291"/>
      <c r="AP6" s="291"/>
      <c r="AQ6" s="291"/>
      <c r="AR6" s="291"/>
    </row>
    <row r="7" spans="1:256" s="296" customFormat="1" ht="21" customHeight="1" x14ac:dyDescent="0.25">
      <c r="B7" s="655" t="s">
        <v>730</v>
      </c>
      <c r="C7" s="655"/>
      <c r="D7" s="655"/>
      <c r="E7" s="655"/>
      <c r="F7" s="655"/>
      <c r="G7" s="655"/>
      <c r="H7" s="655"/>
      <c r="I7" s="655"/>
      <c r="J7" s="655"/>
      <c r="K7" s="655"/>
      <c r="L7" s="655"/>
      <c r="M7" s="655"/>
      <c r="N7" s="655"/>
      <c r="O7" s="655"/>
      <c r="P7" s="655"/>
      <c r="Q7" s="655"/>
      <c r="R7" s="655"/>
      <c r="S7" s="655"/>
      <c r="T7" s="655"/>
      <c r="U7" s="655"/>
      <c r="V7" s="655"/>
      <c r="W7" s="655"/>
      <c r="X7" s="655"/>
      <c r="Y7" s="655"/>
      <c r="Z7" s="655"/>
      <c r="AA7" s="655"/>
      <c r="AB7" s="655"/>
      <c r="AC7" s="655"/>
      <c r="AD7" s="655"/>
      <c r="AE7" s="655"/>
      <c r="AF7" s="655"/>
      <c r="AG7" s="655"/>
    </row>
    <row r="8" spans="1:256" s="297" customFormat="1" ht="16.5" customHeight="1" x14ac:dyDescent="0.3">
      <c r="B8" s="648" t="s">
        <v>712</v>
      </c>
      <c r="C8" s="648"/>
      <c r="D8" s="648"/>
      <c r="E8" s="648"/>
      <c r="F8" s="648"/>
      <c r="G8" s="648"/>
      <c r="H8" s="648"/>
      <c r="I8" s="648"/>
      <c r="J8" s="648"/>
      <c r="K8" s="648"/>
      <c r="L8" s="648"/>
      <c r="M8" s="648"/>
      <c r="N8" s="648"/>
      <c r="O8" s="648"/>
      <c r="P8" s="648"/>
      <c r="Q8" s="648"/>
      <c r="R8" s="648"/>
      <c r="S8" s="648"/>
      <c r="T8" s="648"/>
      <c r="U8" s="648"/>
      <c r="V8" s="648"/>
      <c r="W8" s="648"/>
      <c r="X8" s="648"/>
      <c r="Y8" s="648"/>
      <c r="Z8" s="648"/>
      <c r="AA8" s="648"/>
      <c r="AB8" s="648"/>
      <c r="AC8" s="648"/>
      <c r="AD8" s="648"/>
      <c r="AE8" s="648"/>
      <c r="AF8" s="648"/>
      <c r="AG8" s="648"/>
    </row>
    <row r="9" spans="1:256" s="396" customFormat="1" ht="17.25" hidden="1" x14ac:dyDescent="0.3">
      <c r="B9" s="685" t="s">
        <v>500</v>
      </c>
      <c r="C9" s="685"/>
      <c r="D9" s="685"/>
      <c r="E9" s="685"/>
      <c r="F9" s="685"/>
      <c r="G9" s="685"/>
      <c r="H9" s="685"/>
      <c r="I9" s="685"/>
      <c r="J9" s="685"/>
      <c r="K9" s="685"/>
      <c r="L9" s="685"/>
      <c r="M9" s="685"/>
      <c r="N9" s="685"/>
      <c r="O9" s="685"/>
      <c r="P9" s="685"/>
      <c r="Q9" s="685"/>
      <c r="R9" s="685"/>
      <c r="S9" s="685"/>
      <c r="T9" s="685"/>
      <c r="U9" s="685"/>
      <c r="V9" s="685"/>
      <c r="W9" s="685"/>
      <c r="X9" s="685"/>
      <c r="Y9" s="685"/>
      <c r="Z9" s="685"/>
      <c r="AA9" s="685"/>
      <c r="AB9" s="685"/>
      <c r="AC9" s="685"/>
      <c r="AD9" s="685"/>
      <c r="AE9" s="685"/>
      <c r="AF9" s="685"/>
      <c r="AG9" s="685"/>
    </row>
    <row r="10" spans="1:256" s="396" customFormat="1" ht="17.25" hidden="1" x14ac:dyDescent="0.3">
      <c r="B10" s="686" t="s">
        <v>682</v>
      </c>
      <c r="C10" s="685"/>
      <c r="D10" s="685"/>
      <c r="E10" s="685"/>
      <c r="F10" s="685"/>
      <c r="G10" s="685"/>
      <c r="H10" s="685"/>
      <c r="I10" s="685"/>
      <c r="J10" s="685"/>
      <c r="K10" s="685"/>
      <c r="L10" s="685"/>
      <c r="M10" s="685"/>
      <c r="N10" s="685"/>
      <c r="O10" s="685"/>
      <c r="P10" s="685"/>
      <c r="Q10" s="685"/>
      <c r="R10" s="685"/>
      <c r="S10" s="685"/>
      <c r="T10" s="685"/>
      <c r="U10" s="685"/>
      <c r="V10" s="685"/>
      <c r="W10" s="685"/>
      <c r="X10" s="685"/>
      <c r="Y10" s="685"/>
      <c r="Z10" s="685"/>
      <c r="AA10" s="685"/>
      <c r="AB10" s="685"/>
      <c r="AC10" s="685"/>
      <c r="AD10" s="685"/>
      <c r="AE10" s="685"/>
      <c r="AF10" s="685"/>
      <c r="AG10" s="685"/>
    </row>
    <row r="11" spans="1:256" s="396" customFormat="1" ht="17.25" hidden="1" x14ac:dyDescent="0.3">
      <c r="A11" s="685" t="s">
        <v>731</v>
      </c>
      <c r="B11" s="685"/>
      <c r="C11" s="685"/>
      <c r="D11" s="685"/>
      <c r="E11" s="685"/>
      <c r="F11" s="685"/>
      <c r="G11" s="685"/>
      <c r="H11" s="685"/>
      <c r="I11" s="685"/>
      <c r="J11" s="685"/>
      <c r="K11" s="685"/>
      <c r="L11" s="685"/>
      <c r="M11" s="685"/>
      <c r="N11" s="685"/>
      <c r="O11" s="685"/>
      <c r="P11" s="685"/>
      <c r="Q11" s="685"/>
      <c r="R11" s="685"/>
      <c r="S11" s="685"/>
      <c r="T11" s="685"/>
      <c r="U11" s="685"/>
      <c r="V11" s="685"/>
      <c r="W11" s="685"/>
      <c r="X11" s="685"/>
      <c r="Y11" s="685"/>
      <c r="Z11" s="685"/>
      <c r="AA11" s="685"/>
      <c r="AB11" s="685"/>
      <c r="AC11" s="685"/>
      <c r="AD11" s="685"/>
      <c r="AE11" s="685"/>
      <c r="AF11" s="685"/>
      <c r="AG11" s="685" t="s">
        <v>650</v>
      </c>
      <c r="AH11" s="685"/>
      <c r="AI11" s="685"/>
      <c r="AJ11" s="685"/>
      <c r="AK11" s="685"/>
      <c r="AL11" s="685"/>
      <c r="AM11" s="685"/>
      <c r="AN11" s="685"/>
      <c r="AO11" s="685"/>
      <c r="AP11" s="685"/>
      <c r="AQ11" s="685"/>
      <c r="AR11" s="685"/>
      <c r="AS11" s="685"/>
      <c r="AT11" s="685"/>
      <c r="AU11" s="685"/>
      <c r="AV11" s="685"/>
      <c r="AW11" s="685"/>
      <c r="AX11" s="685"/>
      <c r="AY11" s="685"/>
      <c r="AZ11" s="685"/>
      <c r="BA11" s="685"/>
      <c r="BB11" s="685"/>
      <c r="BC11" s="685"/>
      <c r="BD11" s="685"/>
      <c r="BE11" s="685"/>
      <c r="BF11" s="685"/>
      <c r="BG11" s="685"/>
      <c r="BH11" s="685"/>
      <c r="BI11" s="685"/>
      <c r="BJ11" s="685"/>
      <c r="BK11" s="685"/>
      <c r="BL11" s="685"/>
      <c r="BM11" s="685" t="s">
        <v>650</v>
      </c>
      <c r="BN11" s="685"/>
      <c r="BO11" s="685"/>
      <c r="BP11" s="685"/>
      <c r="BQ11" s="685"/>
      <c r="BR11" s="685"/>
      <c r="BS11" s="685"/>
      <c r="BT11" s="685"/>
      <c r="BU11" s="685"/>
      <c r="BV11" s="685"/>
      <c r="BW11" s="685"/>
      <c r="BX11" s="685"/>
      <c r="BY11" s="685"/>
      <c r="BZ11" s="685"/>
      <c r="CA11" s="685"/>
      <c r="CB11" s="685"/>
      <c r="CC11" s="685"/>
      <c r="CD11" s="685"/>
      <c r="CE11" s="685"/>
      <c r="CF11" s="685"/>
      <c r="CG11" s="685"/>
      <c r="CH11" s="685"/>
      <c r="CI11" s="685"/>
      <c r="CJ11" s="685"/>
      <c r="CK11" s="685"/>
      <c r="CL11" s="685"/>
      <c r="CM11" s="685"/>
      <c r="CN11" s="685"/>
      <c r="CO11" s="685"/>
      <c r="CP11" s="685"/>
      <c r="CQ11" s="685"/>
      <c r="CR11" s="685"/>
      <c r="CS11" s="685" t="s">
        <v>650</v>
      </c>
      <c r="CT11" s="685"/>
      <c r="CU11" s="685"/>
      <c r="CV11" s="685"/>
      <c r="CW11" s="685"/>
      <c r="CX11" s="685"/>
      <c r="CY11" s="685"/>
      <c r="CZ11" s="685"/>
      <c r="DA11" s="685"/>
      <c r="DB11" s="685"/>
      <c r="DC11" s="685"/>
      <c r="DD11" s="685"/>
      <c r="DE11" s="685"/>
      <c r="DF11" s="685"/>
      <c r="DG11" s="685"/>
      <c r="DH11" s="685"/>
      <c r="DI11" s="685"/>
      <c r="DJ11" s="685"/>
      <c r="DK11" s="685"/>
      <c r="DL11" s="685"/>
      <c r="DM11" s="685"/>
      <c r="DN11" s="685"/>
      <c r="DO11" s="685"/>
      <c r="DP11" s="685"/>
      <c r="DQ11" s="685"/>
      <c r="DR11" s="685"/>
      <c r="DS11" s="685"/>
      <c r="DT11" s="685"/>
      <c r="DU11" s="685"/>
      <c r="DV11" s="685"/>
      <c r="DW11" s="685"/>
      <c r="DX11" s="685"/>
      <c r="DY11" s="685" t="s">
        <v>650</v>
      </c>
      <c r="DZ11" s="685"/>
      <c r="EA11" s="685"/>
      <c r="EB11" s="685"/>
      <c r="EC11" s="685"/>
      <c r="ED11" s="685"/>
      <c r="EE11" s="685"/>
      <c r="EF11" s="685"/>
      <c r="EG11" s="685"/>
      <c r="EH11" s="685"/>
      <c r="EI11" s="685"/>
      <c r="EJ11" s="685"/>
      <c r="EK11" s="685"/>
      <c r="EL11" s="685"/>
      <c r="EM11" s="685"/>
      <c r="EN11" s="685"/>
      <c r="EO11" s="685"/>
      <c r="EP11" s="685"/>
      <c r="EQ11" s="685"/>
      <c r="ER11" s="685"/>
      <c r="ES11" s="685"/>
      <c r="ET11" s="685"/>
      <c r="EU11" s="685"/>
      <c r="EV11" s="685"/>
      <c r="EW11" s="685"/>
      <c r="EX11" s="685"/>
      <c r="EY11" s="685"/>
      <c r="EZ11" s="685"/>
      <c r="FA11" s="685"/>
      <c r="FB11" s="685"/>
      <c r="FC11" s="685"/>
      <c r="FD11" s="685"/>
      <c r="FE11" s="685" t="s">
        <v>650</v>
      </c>
      <c r="FF11" s="685"/>
      <c r="FG11" s="685"/>
      <c r="FH11" s="685"/>
      <c r="FI11" s="685"/>
      <c r="FJ11" s="685"/>
      <c r="FK11" s="685"/>
      <c r="FL11" s="685"/>
      <c r="FM11" s="685"/>
      <c r="FN11" s="685"/>
      <c r="FO11" s="685"/>
      <c r="FP11" s="685"/>
      <c r="FQ11" s="685"/>
      <c r="FR11" s="685"/>
      <c r="FS11" s="685"/>
      <c r="FT11" s="685"/>
      <c r="FU11" s="685"/>
      <c r="FV11" s="685"/>
      <c r="FW11" s="685"/>
      <c r="FX11" s="685"/>
      <c r="FY11" s="685"/>
      <c r="FZ11" s="685"/>
      <c r="GA11" s="685"/>
      <c r="GB11" s="685"/>
      <c r="GC11" s="685"/>
      <c r="GD11" s="685"/>
      <c r="GE11" s="685"/>
      <c r="GF11" s="685"/>
      <c r="GG11" s="685"/>
      <c r="GH11" s="685"/>
      <c r="GI11" s="685"/>
      <c r="GJ11" s="685"/>
      <c r="GK11" s="685" t="s">
        <v>650</v>
      </c>
      <c r="GL11" s="685"/>
      <c r="GM11" s="685"/>
      <c r="GN11" s="685"/>
      <c r="GO11" s="685"/>
      <c r="GP11" s="685"/>
      <c r="GQ11" s="685"/>
      <c r="GR11" s="685"/>
      <c r="GS11" s="685"/>
      <c r="GT11" s="685"/>
      <c r="GU11" s="685"/>
      <c r="GV11" s="685"/>
      <c r="GW11" s="685"/>
      <c r="GX11" s="685"/>
      <c r="GY11" s="685"/>
      <c r="GZ11" s="685"/>
      <c r="HA11" s="685"/>
      <c r="HB11" s="685"/>
      <c r="HC11" s="685"/>
      <c r="HD11" s="685"/>
      <c r="HE11" s="685"/>
      <c r="HF11" s="685"/>
      <c r="HG11" s="685"/>
      <c r="HH11" s="685"/>
      <c r="HI11" s="685"/>
      <c r="HJ11" s="685"/>
      <c r="HK11" s="685"/>
      <c r="HL11" s="685"/>
      <c r="HM11" s="685"/>
      <c r="HN11" s="685"/>
      <c r="HO11" s="685"/>
      <c r="HP11" s="685"/>
      <c r="HQ11" s="685" t="s">
        <v>650</v>
      </c>
      <c r="HR11" s="685"/>
      <c r="HS11" s="685"/>
      <c r="HT11" s="685"/>
      <c r="HU11" s="685"/>
      <c r="HV11" s="685"/>
      <c r="HW11" s="685"/>
      <c r="HX11" s="685"/>
      <c r="HY11" s="685"/>
      <c r="HZ11" s="685"/>
      <c r="IA11" s="685"/>
      <c r="IB11" s="685"/>
      <c r="IC11" s="685"/>
      <c r="ID11" s="685"/>
      <c r="IE11" s="685"/>
      <c r="IF11" s="685"/>
      <c r="IG11" s="685"/>
      <c r="IH11" s="685"/>
      <c r="II11" s="685"/>
      <c r="IJ11" s="685"/>
      <c r="IK11" s="685"/>
      <c r="IL11" s="685"/>
      <c r="IM11" s="685"/>
      <c r="IN11" s="685"/>
      <c r="IO11" s="685"/>
      <c r="IP11" s="685"/>
      <c r="IQ11" s="685"/>
      <c r="IR11" s="685"/>
      <c r="IS11" s="685"/>
      <c r="IT11" s="685"/>
      <c r="IU11" s="685"/>
      <c r="IV11" s="685"/>
    </row>
    <row r="12" spans="1:256" s="396" customFormat="1" ht="17.25" x14ac:dyDescent="0.3">
      <c r="B12" s="685" t="s">
        <v>714</v>
      </c>
      <c r="C12" s="685"/>
      <c r="D12" s="685"/>
      <c r="E12" s="685"/>
      <c r="F12" s="685"/>
      <c r="G12" s="685"/>
      <c r="H12" s="685"/>
      <c r="I12" s="685"/>
      <c r="J12" s="685"/>
      <c r="K12" s="685"/>
      <c r="L12" s="685"/>
      <c r="M12" s="685"/>
      <c r="N12" s="685"/>
      <c r="O12" s="685"/>
      <c r="P12" s="685"/>
      <c r="Q12" s="685"/>
      <c r="R12" s="685"/>
      <c r="S12" s="685"/>
      <c r="T12" s="685"/>
      <c r="U12" s="685"/>
      <c r="V12" s="685"/>
      <c r="W12" s="685"/>
      <c r="X12" s="685"/>
      <c r="Y12" s="685"/>
      <c r="Z12" s="685"/>
      <c r="AA12" s="685"/>
      <c r="AB12" s="685"/>
      <c r="AC12" s="685"/>
      <c r="AD12" s="685"/>
      <c r="AE12" s="685"/>
      <c r="AF12" s="685"/>
      <c r="AG12" s="685"/>
    </row>
    <row r="13" spans="1:256" s="297" customFormat="1" ht="18" thickBot="1" x14ac:dyDescent="0.35">
      <c r="B13" s="648"/>
      <c r="C13" s="648"/>
      <c r="D13" s="648"/>
      <c r="E13" s="648"/>
      <c r="F13" s="648"/>
      <c r="G13" s="648"/>
      <c r="H13" s="648"/>
      <c r="I13" s="648"/>
      <c r="J13" s="648"/>
      <c r="K13" s="648"/>
      <c r="L13" s="648"/>
      <c r="M13" s="648"/>
      <c r="N13" s="648"/>
      <c r="O13" s="648"/>
      <c r="P13" s="648"/>
      <c r="Q13" s="648"/>
      <c r="R13" s="648"/>
      <c r="S13" s="648"/>
      <c r="T13" s="648"/>
      <c r="U13" s="648"/>
      <c r="V13" s="648"/>
      <c r="W13" s="648"/>
      <c r="X13" s="648"/>
      <c r="Y13" s="648"/>
      <c r="Z13" s="648"/>
      <c r="AA13" s="648"/>
      <c r="AB13" s="648"/>
      <c r="AC13" s="648"/>
      <c r="AD13" s="648"/>
      <c r="AE13" s="648"/>
      <c r="AF13" s="648"/>
      <c r="AG13" s="648"/>
    </row>
    <row r="14" spans="1:256" s="218" customFormat="1" ht="45" customHeight="1" x14ac:dyDescent="0.25">
      <c r="B14" s="687" t="s">
        <v>3</v>
      </c>
      <c r="C14" s="645" t="s">
        <v>4</v>
      </c>
      <c r="D14" s="645" t="s">
        <v>5</v>
      </c>
      <c r="E14" s="369"/>
      <c r="F14" s="645" t="s">
        <v>6</v>
      </c>
      <c r="G14" s="645" t="s">
        <v>7</v>
      </c>
      <c r="H14" s="645" t="s">
        <v>8</v>
      </c>
      <c r="I14" s="645"/>
      <c r="J14" s="645" t="s">
        <v>9</v>
      </c>
      <c r="K14" s="645"/>
      <c r="L14" s="645" t="s">
        <v>10</v>
      </c>
      <c r="M14" s="645"/>
      <c r="N14" s="645" t="s">
        <v>11</v>
      </c>
      <c r="O14" s="645"/>
      <c r="P14" s="645" t="s">
        <v>12</v>
      </c>
      <c r="Q14" s="645"/>
      <c r="R14" s="645" t="s">
        <v>13</v>
      </c>
      <c r="S14" s="645"/>
      <c r="T14" s="637" t="s">
        <v>98</v>
      </c>
      <c r="U14" s="639" t="s">
        <v>242</v>
      </c>
      <c r="V14" s="641" t="s">
        <v>14</v>
      </c>
      <c r="W14" s="642"/>
      <c r="X14" s="643" t="s">
        <v>15</v>
      </c>
      <c r="Y14" s="645" t="s">
        <v>16</v>
      </c>
      <c r="Z14" s="684" t="s">
        <v>76</v>
      </c>
      <c r="AA14" s="684"/>
      <c r="AB14" s="684"/>
      <c r="AC14" s="684"/>
      <c r="AD14" s="636" t="s">
        <v>501</v>
      </c>
      <c r="AE14" s="641" t="s">
        <v>646</v>
      </c>
      <c r="AF14" s="642"/>
      <c r="AG14" s="682" t="s">
        <v>17</v>
      </c>
    </row>
    <row r="15" spans="1:256" s="218" customFormat="1" ht="127.5" customHeight="1" x14ac:dyDescent="0.25">
      <c r="B15" s="688"/>
      <c r="C15" s="646"/>
      <c r="D15" s="646"/>
      <c r="E15" s="222"/>
      <c r="F15" s="646"/>
      <c r="G15" s="646"/>
      <c r="H15" s="222" t="s">
        <v>18</v>
      </c>
      <c r="I15" s="222" t="s">
        <v>19</v>
      </c>
      <c r="J15" s="222" t="s">
        <v>20</v>
      </c>
      <c r="K15" s="222" t="s">
        <v>19</v>
      </c>
      <c r="L15" s="222" t="s">
        <v>21</v>
      </c>
      <c r="M15" s="222" t="s">
        <v>19</v>
      </c>
      <c r="N15" s="222" t="s">
        <v>21</v>
      </c>
      <c r="O15" s="222" t="s">
        <v>19</v>
      </c>
      <c r="P15" s="222" t="s">
        <v>20</v>
      </c>
      <c r="Q15" s="222" t="s">
        <v>19</v>
      </c>
      <c r="R15" s="222" t="s">
        <v>20</v>
      </c>
      <c r="S15" s="222" t="s">
        <v>19</v>
      </c>
      <c r="T15" s="638"/>
      <c r="U15" s="640"/>
      <c r="V15" s="222" t="s">
        <v>22</v>
      </c>
      <c r="W15" s="222" t="s">
        <v>23</v>
      </c>
      <c r="X15" s="644"/>
      <c r="Y15" s="646"/>
      <c r="Z15" s="154" t="s">
        <v>78</v>
      </c>
      <c r="AA15" s="154" t="s">
        <v>79</v>
      </c>
      <c r="AB15" s="154" t="s">
        <v>80</v>
      </c>
      <c r="AC15" s="154" t="s">
        <v>81</v>
      </c>
      <c r="AD15" s="651"/>
      <c r="AE15" s="222" t="s">
        <v>647</v>
      </c>
      <c r="AF15" s="370" t="s">
        <v>648</v>
      </c>
      <c r="AG15" s="683"/>
      <c r="AI15" s="451">
        <f>AI18+AJ18</f>
        <v>317259219</v>
      </c>
    </row>
    <row r="16" spans="1:256" s="298" customFormat="1" ht="12" x14ac:dyDescent="0.2">
      <c r="B16" s="258"/>
      <c r="C16" s="223" t="s">
        <v>28</v>
      </c>
      <c r="D16" s="223">
        <v>1</v>
      </c>
      <c r="E16" s="223"/>
      <c r="F16" s="223">
        <v>2</v>
      </c>
      <c r="G16" s="223">
        <v>3</v>
      </c>
      <c r="H16" s="223">
        <v>4</v>
      </c>
      <c r="I16" s="223">
        <v>5</v>
      </c>
      <c r="J16" s="223">
        <v>6</v>
      </c>
      <c r="K16" s="223">
        <v>7</v>
      </c>
      <c r="L16" s="223">
        <v>8</v>
      </c>
      <c r="M16" s="223">
        <v>9</v>
      </c>
      <c r="N16" s="223">
        <v>10</v>
      </c>
      <c r="O16" s="223">
        <v>11</v>
      </c>
      <c r="P16" s="223">
        <v>12</v>
      </c>
      <c r="Q16" s="223">
        <v>13</v>
      </c>
      <c r="R16" s="223">
        <v>14</v>
      </c>
      <c r="S16" s="223">
        <v>15</v>
      </c>
      <c r="T16" s="299">
        <v>16</v>
      </c>
      <c r="U16" s="300">
        <v>17</v>
      </c>
      <c r="V16" s="223">
        <v>18</v>
      </c>
      <c r="W16" s="223">
        <v>19</v>
      </c>
      <c r="X16" s="223">
        <v>20</v>
      </c>
      <c r="Y16" s="223">
        <v>21</v>
      </c>
      <c r="Z16" s="223">
        <v>22</v>
      </c>
      <c r="AA16" s="223">
        <v>23</v>
      </c>
      <c r="AB16" s="223">
        <v>24</v>
      </c>
      <c r="AC16" s="223">
        <v>25</v>
      </c>
      <c r="AD16" s="223">
        <v>26</v>
      </c>
      <c r="AE16" s="223">
        <v>27</v>
      </c>
      <c r="AF16" s="223">
        <v>28</v>
      </c>
      <c r="AG16" s="259">
        <v>29</v>
      </c>
      <c r="AJ16" s="371">
        <f>AJ18+AK18</f>
        <v>0</v>
      </c>
    </row>
    <row r="17" spans="1:39" s="298" customFormat="1" ht="24.75" customHeight="1" x14ac:dyDescent="0.2">
      <c r="B17" s="555"/>
      <c r="C17" s="556" t="s">
        <v>38</v>
      </c>
      <c r="D17" s="567" t="str">
        <f>COUNTA(G20:G27)&amp;" HỒ SƠ"</f>
        <v>6 HỒ SƠ</v>
      </c>
      <c r="E17" s="557"/>
      <c r="F17" s="557"/>
      <c r="G17" s="558"/>
      <c r="H17" s="558"/>
      <c r="I17" s="558"/>
      <c r="J17" s="558"/>
      <c r="K17" s="558"/>
      <c r="L17" s="558"/>
      <c r="M17" s="558"/>
      <c r="N17" s="558"/>
      <c r="O17" s="558"/>
      <c r="P17" s="558"/>
      <c r="Q17" s="558"/>
      <c r="R17" s="558"/>
      <c r="S17" s="558"/>
      <c r="T17" s="559"/>
      <c r="U17" s="560"/>
      <c r="V17" s="558"/>
      <c r="W17" s="558"/>
      <c r="X17" s="561"/>
      <c r="Y17" s="558"/>
      <c r="Z17" s="562">
        <f>Z18+Z25</f>
        <v>6</v>
      </c>
      <c r="AA17" s="562"/>
      <c r="AB17" s="562"/>
      <c r="AC17" s="562"/>
      <c r="AD17" s="563">
        <f>AF17</f>
        <v>1156179955</v>
      </c>
      <c r="AE17" s="563"/>
      <c r="AF17" s="563">
        <f>AF18+AF25</f>
        <v>1156179955</v>
      </c>
      <c r="AG17" s="564"/>
      <c r="AI17" s="452">
        <f>SUMIF(Z18:Z20,"x",$AD$19:$AD$21)</f>
        <v>199664943</v>
      </c>
      <c r="AJ17" s="452">
        <f>SUMIF(AB18:AB20,"x",$AD$19:$AD$21)</f>
        <v>0</v>
      </c>
      <c r="AK17" s="320">
        <f>SUMIF($AK$19:$AK$21,"1",$AD$19:$AD$21)</f>
        <v>0</v>
      </c>
    </row>
    <row r="18" spans="1:39" s="298" customFormat="1" ht="24.75" customHeight="1" x14ac:dyDescent="0.2">
      <c r="B18" s="555" t="s">
        <v>28</v>
      </c>
      <c r="C18" s="556" t="s">
        <v>361</v>
      </c>
      <c r="D18" s="567" t="str">
        <f>COUNTA(G19:G24)&amp;" HỒ SƠ"</f>
        <v>4 HỒ SƠ</v>
      </c>
      <c r="E18" s="557"/>
      <c r="F18" s="557"/>
      <c r="G18" s="558"/>
      <c r="H18" s="558"/>
      <c r="I18" s="558"/>
      <c r="J18" s="558"/>
      <c r="K18" s="558"/>
      <c r="L18" s="558"/>
      <c r="M18" s="558"/>
      <c r="N18" s="558"/>
      <c r="O18" s="558"/>
      <c r="P18" s="558"/>
      <c r="Q18" s="558"/>
      <c r="R18" s="558"/>
      <c r="S18" s="558"/>
      <c r="T18" s="559"/>
      <c r="U18" s="560"/>
      <c r="V18" s="558"/>
      <c r="W18" s="558"/>
      <c r="X18" s="561"/>
      <c r="Y18" s="558"/>
      <c r="Z18" s="562">
        <f>Z19+Z22</f>
        <v>4</v>
      </c>
      <c r="AA18" s="562"/>
      <c r="AB18" s="562"/>
      <c r="AC18" s="562"/>
      <c r="AD18" s="563">
        <f>AF18</f>
        <v>543721881</v>
      </c>
      <c r="AE18" s="563"/>
      <c r="AF18" s="563">
        <f>AF19+AF22</f>
        <v>543721881</v>
      </c>
      <c r="AG18" s="564"/>
      <c r="AI18" s="452">
        <f>SUMIF(Z19:Z21,"x",$AD$19:$AD$21)</f>
        <v>317259219</v>
      </c>
      <c r="AJ18" s="452">
        <f>SUMIF(AB19:AB21,"x",$AD$19:$AD$21)</f>
        <v>0</v>
      </c>
      <c r="AK18" s="320">
        <f>SUMIF($AK$19:$AK$21,"1",$AD$19:$AD$21)</f>
        <v>0</v>
      </c>
    </row>
    <row r="19" spans="1:39" s="541" customFormat="1" ht="25.5" customHeight="1" x14ac:dyDescent="0.2">
      <c r="B19" s="531" t="s">
        <v>141</v>
      </c>
      <c r="C19" s="532" t="s">
        <v>33</v>
      </c>
      <c r="D19" s="568" t="str">
        <f>COUNTA(B20:B21)&amp;" HỒ SƠ"</f>
        <v>2 HỒ SƠ</v>
      </c>
      <c r="E19" s="533"/>
      <c r="F19" s="533"/>
      <c r="G19" s="534"/>
      <c r="H19" s="534"/>
      <c r="I19" s="534"/>
      <c r="J19" s="534"/>
      <c r="K19" s="534"/>
      <c r="L19" s="534"/>
      <c r="M19" s="534"/>
      <c r="N19" s="534"/>
      <c r="O19" s="534"/>
      <c r="P19" s="534"/>
      <c r="Q19" s="534"/>
      <c r="R19" s="534"/>
      <c r="S19" s="534"/>
      <c r="T19" s="535"/>
      <c r="U19" s="536"/>
      <c r="V19" s="534"/>
      <c r="W19" s="534"/>
      <c r="X19" s="537"/>
      <c r="Y19" s="538"/>
      <c r="Z19" s="538">
        <f>COUNTA(Z20:Z21)</f>
        <v>2</v>
      </c>
      <c r="AA19" s="538"/>
      <c r="AB19" s="538"/>
      <c r="AC19" s="538"/>
      <c r="AD19" s="539">
        <f>SUM(AE19:AF19)</f>
        <v>317259219</v>
      </c>
      <c r="AE19" s="539"/>
      <c r="AF19" s="539">
        <f>SUM(AF20:AF21)</f>
        <v>317259219</v>
      </c>
      <c r="AG19" s="540"/>
      <c r="AI19" s="542">
        <f>SUMIF(Z20:Z21,"x",$AD$20:$AD$21)</f>
        <v>317259219</v>
      </c>
      <c r="AJ19" s="541" t="s">
        <v>649</v>
      </c>
      <c r="AK19" s="543">
        <f>SUM(AE21:AE21)</f>
        <v>0</v>
      </c>
      <c r="AL19" s="543">
        <f>SUM(AF21:AF21)</f>
        <v>199664943</v>
      </c>
      <c r="AM19" s="543">
        <f>SUM(AG21:AG21)</f>
        <v>0</v>
      </c>
    </row>
    <row r="20" spans="1:39" s="298" customFormat="1" ht="117.75" customHeight="1" x14ac:dyDescent="0.2">
      <c r="A20" s="321" t="s">
        <v>466</v>
      </c>
      <c r="B20" s="372">
        <v>1</v>
      </c>
      <c r="C20" s="373" t="s">
        <v>684</v>
      </c>
      <c r="D20" s="569">
        <v>26149</v>
      </c>
      <c r="E20" s="374">
        <v>26177</v>
      </c>
      <c r="F20" s="375"/>
      <c r="G20" s="376" t="s">
        <v>685</v>
      </c>
      <c r="H20" s="377">
        <v>4.2699999999999996</v>
      </c>
      <c r="I20" s="374">
        <v>43101</v>
      </c>
      <c r="J20" s="375"/>
      <c r="K20" s="374"/>
      <c r="L20" s="378" t="s">
        <v>354</v>
      </c>
      <c r="M20" s="374" t="s">
        <v>732</v>
      </c>
      <c r="N20" s="378"/>
      <c r="O20" s="374"/>
      <c r="P20" s="375"/>
      <c r="Q20" s="375"/>
      <c r="R20" s="377" t="s">
        <v>660</v>
      </c>
      <c r="S20" s="374" t="s">
        <v>686</v>
      </c>
      <c r="T20" s="379"/>
      <c r="U20" s="380">
        <v>5736306.1833333336</v>
      </c>
      <c r="V20" s="381" t="s">
        <v>688</v>
      </c>
      <c r="W20" s="381"/>
      <c r="X20" s="382">
        <v>44986</v>
      </c>
      <c r="Y20" s="381" t="s">
        <v>728</v>
      </c>
      <c r="Z20" s="384" t="s">
        <v>158</v>
      </c>
      <c r="AA20" s="383"/>
      <c r="AB20" s="384"/>
      <c r="AC20" s="384"/>
      <c r="AD20" s="385">
        <f t="shared" ref="AD20:AD21" si="0">SUM(AE20:AF20)</f>
        <v>117594276</v>
      </c>
      <c r="AE20" s="384"/>
      <c r="AF20" s="386">
        <v>117594276</v>
      </c>
      <c r="AG20" s="387" t="s">
        <v>716</v>
      </c>
      <c r="AI20" s="298">
        <v>1</v>
      </c>
    </row>
    <row r="21" spans="1:39" s="298" customFormat="1" ht="120" customHeight="1" x14ac:dyDescent="0.2">
      <c r="A21" s="321" t="s">
        <v>466</v>
      </c>
      <c r="B21" s="372">
        <v>2</v>
      </c>
      <c r="C21" s="373" t="s">
        <v>704</v>
      </c>
      <c r="D21" s="569">
        <v>25898</v>
      </c>
      <c r="E21" s="374">
        <v>25903</v>
      </c>
      <c r="F21" s="375"/>
      <c r="G21" s="376" t="s">
        <v>705</v>
      </c>
      <c r="H21" s="377" t="s">
        <v>696</v>
      </c>
      <c r="I21" s="374">
        <v>44652</v>
      </c>
      <c r="J21" s="375"/>
      <c r="K21" s="374"/>
      <c r="L21" s="378" t="s">
        <v>430</v>
      </c>
      <c r="M21" s="374" t="s">
        <v>662</v>
      </c>
      <c r="N21" s="378" t="s">
        <v>393</v>
      </c>
      <c r="O21" s="374" t="s">
        <v>707</v>
      </c>
      <c r="P21" s="375"/>
      <c r="Q21" s="375"/>
      <c r="R21" s="377">
        <v>4.9800000000000004</v>
      </c>
      <c r="S21" s="374">
        <v>42826</v>
      </c>
      <c r="T21" s="379"/>
      <c r="U21" s="380">
        <v>9286741.5159999989</v>
      </c>
      <c r="V21" s="381" t="s">
        <v>715</v>
      </c>
      <c r="W21" s="381"/>
      <c r="X21" s="382">
        <v>44986</v>
      </c>
      <c r="Y21" s="381" t="s">
        <v>547</v>
      </c>
      <c r="Z21" s="384" t="s">
        <v>158</v>
      </c>
      <c r="AA21" s="383"/>
      <c r="AB21" s="384"/>
      <c r="AC21" s="384"/>
      <c r="AD21" s="385">
        <f t="shared" si="0"/>
        <v>199664943</v>
      </c>
      <c r="AE21" s="384"/>
      <c r="AF21" s="386">
        <v>199664943</v>
      </c>
      <c r="AG21" s="387" t="s">
        <v>755</v>
      </c>
      <c r="AI21" s="298">
        <v>1</v>
      </c>
    </row>
    <row r="22" spans="1:39" s="545" customFormat="1" ht="30" customHeight="1" x14ac:dyDescent="0.2">
      <c r="A22" s="544"/>
      <c r="B22" s="546" t="s">
        <v>155</v>
      </c>
      <c r="C22" s="547" t="s">
        <v>644</v>
      </c>
      <c r="D22" s="570" t="str">
        <f>COUNTA(D23:D24)&amp;" HỒ SƠ"</f>
        <v>2 HỒ SƠ</v>
      </c>
      <c r="E22" s="548"/>
      <c r="F22" s="548"/>
      <c r="G22" s="549"/>
      <c r="H22" s="550"/>
      <c r="I22" s="550"/>
      <c r="J22" s="550"/>
      <c r="K22" s="550"/>
      <c r="L22" s="550"/>
      <c r="M22" s="550"/>
      <c r="N22" s="550"/>
      <c r="O22" s="550"/>
      <c r="P22" s="550"/>
      <c r="Q22" s="550"/>
      <c r="R22" s="550"/>
      <c r="S22" s="550"/>
      <c r="T22" s="550"/>
      <c r="U22" s="550"/>
      <c r="V22" s="550"/>
      <c r="W22" s="550"/>
      <c r="X22" s="550"/>
      <c r="Y22" s="550"/>
      <c r="Z22" s="551">
        <f>COUNTA(Z23:Z24)</f>
        <v>2</v>
      </c>
      <c r="AA22" s="552"/>
      <c r="AB22" s="552"/>
      <c r="AC22" s="552"/>
      <c r="AD22" s="272">
        <f>AF22</f>
        <v>226462662</v>
      </c>
      <c r="AE22" s="553">
        <f t="shared" ref="AE22" si="1">SUM(AE24)</f>
        <v>0</v>
      </c>
      <c r="AF22" s="272">
        <f>SUM(AF23:AF24)</f>
        <v>226462662</v>
      </c>
      <c r="AG22" s="554"/>
    </row>
    <row r="23" spans="1:39" s="298" customFormat="1" ht="117.75" customHeight="1" x14ac:dyDescent="0.2">
      <c r="A23" s="321" t="s">
        <v>404</v>
      </c>
      <c r="B23" s="372">
        <v>1</v>
      </c>
      <c r="C23" s="373" t="s">
        <v>717</v>
      </c>
      <c r="D23" s="569">
        <v>24374</v>
      </c>
      <c r="E23" s="374">
        <v>24381</v>
      </c>
      <c r="F23" s="375"/>
      <c r="G23" s="376" t="s">
        <v>718</v>
      </c>
      <c r="H23" s="377">
        <v>4.6500000000000004</v>
      </c>
      <c r="I23" s="374">
        <v>44927</v>
      </c>
      <c r="J23" s="375">
        <v>0.2</v>
      </c>
      <c r="K23" s="374" t="s">
        <v>722</v>
      </c>
      <c r="L23" s="378"/>
      <c r="M23" s="374"/>
      <c r="N23" s="378"/>
      <c r="O23" s="374"/>
      <c r="P23" s="375"/>
      <c r="Q23" s="375"/>
      <c r="R23" s="377" t="s">
        <v>530</v>
      </c>
      <c r="S23" s="374" t="s">
        <v>724</v>
      </c>
      <c r="T23" s="379"/>
      <c r="U23" s="380">
        <v>6483196.6666666679</v>
      </c>
      <c r="V23" s="381" t="s">
        <v>708</v>
      </c>
      <c r="W23" s="381"/>
      <c r="X23" s="382">
        <v>44986</v>
      </c>
      <c r="Y23" s="381" t="s">
        <v>729</v>
      </c>
      <c r="Z23" s="384" t="s">
        <v>158</v>
      </c>
      <c r="AA23" s="383"/>
      <c r="AB23" s="384"/>
      <c r="AC23" s="384"/>
      <c r="AD23" s="385">
        <f t="shared" ref="AD23" si="2">SUM(AE23:AG23)</f>
        <v>136147130</v>
      </c>
      <c r="AE23" s="384"/>
      <c r="AF23" s="386">
        <v>136147130</v>
      </c>
      <c r="AG23" s="387" t="s">
        <v>721</v>
      </c>
    </row>
    <row r="24" spans="1:39" s="298" customFormat="1" ht="117.75" customHeight="1" x14ac:dyDescent="0.2">
      <c r="A24" s="321" t="s">
        <v>404</v>
      </c>
      <c r="B24" s="372">
        <v>2</v>
      </c>
      <c r="C24" s="373" t="s">
        <v>719</v>
      </c>
      <c r="D24" s="569">
        <v>23538</v>
      </c>
      <c r="E24" s="374">
        <v>23559</v>
      </c>
      <c r="F24" s="375"/>
      <c r="G24" s="376" t="s">
        <v>720</v>
      </c>
      <c r="H24" s="377">
        <v>3.66</v>
      </c>
      <c r="I24" s="374">
        <v>44470</v>
      </c>
      <c r="J24" s="375">
        <v>0.25</v>
      </c>
      <c r="K24" s="374">
        <v>40330</v>
      </c>
      <c r="L24" s="378"/>
      <c r="M24" s="374"/>
      <c r="N24" s="378"/>
      <c r="O24" s="374"/>
      <c r="P24" s="375"/>
      <c r="Q24" s="375"/>
      <c r="R24" s="377" t="s">
        <v>725</v>
      </c>
      <c r="S24" s="374" t="s">
        <v>726</v>
      </c>
      <c r="T24" s="379"/>
      <c r="U24" s="380">
        <v>5312678.333333333</v>
      </c>
      <c r="V24" s="381" t="s">
        <v>727</v>
      </c>
      <c r="W24" s="381"/>
      <c r="X24" s="382">
        <v>44986</v>
      </c>
      <c r="Y24" s="381" t="s">
        <v>514</v>
      </c>
      <c r="Z24" s="384" t="s">
        <v>158</v>
      </c>
      <c r="AA24" s="383"/>
      <c r="AB24" s="384"/>
      <c r="AC24" s="384"/>
      <c r="AD24" s="385">
        <f t="shared" ref="AD24" si="3">SUM(AE24:AG24)</f>
        <v>90315532</v>
      </c>
      <c r="AE24" s="384"/>
      <c r="AF24" s="386">
        <v>90315532</v>
      </c>
      <c r="AG24" s="387" t="s">
        <v>721</v>
      </c>
    </row>
    <row r="25" spans="1:39" s="298" customFormat="1" ht="24.75" customHeight="1" x14ac:dyDescent="0.2">
      <c r="B25" s="555" t="s">
        <v>28</v>
      </c>
      <c r="C25" s="555" t="s">
        <v>360</v>
      </c>
      <c r="D25" s="567" t="str">
        <f>COUNTA(D26:D27)&amp;" HỒ SƠ"</f>
        <v>2 HỒ SƠ</v>
      </c>
      <c r="E25" s="557"/>
      <c r="F25" s="557"/>
      <c r="G25" s="558"/>
      <c r="H25" s="558"/>
      <c r="I25" s="558"/>
      <c r="J25" s="558"/>
      <c r="K25" s="558"/>
      <c r="L25" s="558"/>
      <c r="M25" s="558"/>
      <c r="N25" s="558"/>
      <c r="O25" s="558"/>
      <c r="P25" s="558"/>
      <c r="Q25" s="558"/>
      <c r="R25" s="558"/>
      <c r="S25" s="558"/>
      <c r="T25" s="559"/>
      <c r="U25" s="560"/>
      <c r="V25" s="558"/>
      <c r="W25" s="558"/>
      <c r="X25" s="561"/>
      <c r="Y25" s="558"/>
      <c r="Z25" s="565">
        <f>COUNTA(Z26:Z27)</f>
        <v>2</v>
      </c>
      <c r="AA25" s="562"/>
      <c r="AB25" s="562"/>
      <c r="AC25" s="562"/>
      <c r="AD25" s="563">
        <f>AF25</f>
        <v>612458074</v>
      </c>
      <c r="AE25" s="563"/>
      <c r="AF25" s="563">
        <f>AF26+AF27</f>
        <v>612458074</v>
      </c>
      <c r="AG25" s="564"/>
      <c r="AI25" s="452">
        <f>SUMIF(Z28:Z30,"x",$AD$19:$AD$21)</f>
        <v>0</v>
      </c>
      <c r="AJ25" s="452">
        <f>SUMIF(AB28:AB30,"x",$AD$19:$AD$21)</f>
        <v>0</v>
      </c>
      <c r="AK25" s="320">
        <f>SUMIF($AK$19:$AK$21,"1",$AD$19:$AD$21)</f>
        <v>0</v>
      </c>
    </row>
    <row r="26" spans="1:39" s="298" customFormat="1" ht="117.75" customHeight="1" x14ac:dyDescent="0.2">
      <c r="A26" s="321" t="s">
        <v>404</v>
      </c>
      <c r="B26" s="372">
        <v>1</v>
      </c>
      <c r="C26" s="373" t="s">
        <v>733</v>
      </c>
      <c r="D26" s="569" t="s">
        <v>734</v>
      </c>
      <c r="E26" s="374">
        <v>24289</v>
      </c>
      <c r="F26" s="375" t="s">
        <v>735</v>
      </c>
      <c r="G26" s="376" t="s">
        <v>736</v>
      </c>
      <c r="H26" s="377" t="s">
        <v>737</v>
      </c>
      <c r="I26" s="374">
        <v>44470</v>
      </c>
      <c r="J26" s="375" t="s">
        <v>738</v>
      </c>
      <c r="K26" s="374" t="s">
        <v>739</v>
      </c>
      <c r="L26" s="378"/>
      <c r="M26" s="374"/>
      <c r="N26" s="378" t="s">
        <v>740</v>
      </c>
      <c r="O26" s="374" t="s">
        <v>741</v>
      </c>
      <c r="P26" s="375"/>
      <c r="Q26" s="375"/>
      <c r="R26" s="377" t="s">
        <v>742</v>
      </c>
      <c r="S26" s="374">
        <v>44105</v>
      </c>
      <c r="T26" s="379"/>
      <c r="U26" s="380">
        <v>12188263</v>
      </c>
      <c r="V26" s="381" t="s">
        <v>743</v>
      </c>
      <c r="W26" s="381"/>
      <c r="X26" s="382">
        <v>44958</v>
      </c>
      <c r="Y26" s="381" t="s">
        <v>754</v>
      </c>
      <c r="Z26" s="384" t="s">
        <v>158</v>
      </c>
      <c r="AA26" s="383"/>
      <c r="AB26" s="384"/>
      <c r="AC26" s="384"/>
      <c r="AD26" s="385">
        <f t="shared" ref="AD26:AD27" si="4">SUM(AE26:AG26)</f>
        <v>329083097</v>
      </c>
      <c r="AE26" s="384"/>
      <c r="AF26" s="386">
        <v>329083097</v>
      </c>
      <c r="AG26" s="387" t="s">
        <v>753</v>
      </c>
    </row>
    <row r="27" spans="1:39" s="298" customFormat="1" ht="117.75" customHeight="1" x14ac:dyDescent="0.2">
      <c r="A27" s="321" t="s">
        <v>404</v>
      </c>
      <c r="B27" s="372">
        <v>2</v>
      </c>
      <c r="C27" s="373" t="s">
        <v>744</v>
      </c>
      <c r="D27" s="569" t="s">
        <v>745</v>
      </c>
      <c r="E27" s="374"/>
      <c r="F27" s="375" t="s">
        <v>735</v>
      </c>
      <c r="G27" s="376" t="s">
        <v>746</v>
      </c>
      <c r="H27" s="377" t="s">
        <v>747</v>
      </c>
      <c r="I27" s="374">
        <v>44562</v>
      </c>
      <c r="J27" s="375">
        <v>1.05</v>
      </c>
      <c r="K27" s="374" t="s">
        <v>748</v>
      </c>
      <c r="L27" s="378"/>
      <c r="M27" s="374"/>
      <c r="N27" s="378" t="s">
        <v>749</v>
      </c>
      <c r="O27" s="374" t="s">
        <v>750</v>
      </c>
      <c r="P27" s="375"/>
      <c r="Q27" s="375"/>
      <c r="R27" s="377" t="s">
        <v>751</v>
      </c>
      <c r="S27" s="374">
        <v>44197</v>
      </c>
      <c r="T27" s="379"/>
      <c r="U27" s="379">
        <v>11566326</v>
      </c>
      <c r="V27" s="381" t="s">
        <v>752</v>
      </c>
      <c r="W27" s="381"/>
      <c r="X27" s="382">
        <v>44958</v>
      </c>
      <c r="Y27" s="381" t="s">
        <v>536</v>
      </c>
      <c r="Z27" s="384" t="s">
        <v>158</v>
      </c>
      <c r="AA27" s="383"/>
      <c r="AB27" s="384"/>
      <c r="AC27" s="384"/>
      <c r="AD27" s="385">
        <f t="shared" si="4"/>
        <v>283374977</v>
      </c>
      <c r="AE27" s="384"/>
      <c r="AF27" s="386">
        <v>283374977</v>
      </c>
      <c r="AG27" s="387" t="s">
        <v>753</v>
      </c>
    </row>
    <row r="35" spans="1:36" s="310" customFormat="1" ht="120" hidden="1" customHeight="1" x14ac:dyDescent="0.2">
      <c r="A35" s="321" t="s">
        <v>645</v>
      </c>
      <c r="B35" s="375">
        <v>34</v>
      </c>
      <c r="C35" s="373" t="s">
        <v>684</v>
      </c>
      <c r="D35" s="569">
        <v>26149</v>
      </c>
      <c r="E35" s="374">
        <v>26177</v>
      </c>
      <c r="F35" s="375"/>
      <c r="G35" s="376" t="s">
        <v>685</v>
      </c>
      <c r="H35" s="377">
        <v>4.2699999999999996</v>
      </c>
      <c r="I35" s="374">
        <v>43101</v>
      </c>
      <c r="J35" s="375"/>
      <c r="K35" s="374"/>
      <c r="L35" s="378" t="s">
        <v>396</v>
      </c>
      <c r="M35" s="374" t="s">
        <v>687</v>
      </c>
      <c r="N35" s="378"/>
      <c r="O35" s="374"/>
      <c r="P35" s="375"/>
      <c r="Q35" s="375"/>
      <c r="R35" s="377" t="s">
        <v>660</v>
      </c>
      <c r="S35" s="374" t="s">
        <v>686</v>
      </c>
      <c r="T35" s="388"/>
      <c r="U35" s="379">
        <v>5735606.5999999996</v>
      </c>
      <c r="V35" s="375" t="s">
        <v>688</v>
      </c>
      <c r="W35" s="375"/>
      <c r="X35" s="374">
        <v>44927</v>
      </c>
      <c r="Y35" s="375" t="s">
        <v>261</v>
      </c>
      <c r="Z35" s="384" t="s">
        <v>158</v>
      </c>
      <c r="AA35" s="223"/>
      <c r="AB35" s="223"/>
      <c r="AC35" s="223"/>
      <c r="AD35" s="389">
        <f>SUM(AE35:AF35)</f>
        <v>117579936</v>
      </c>
      <c r="AE35" s="223"/>
      <c r="AF35" s="390">
        <v>117579936</v>
      </c>
      <c r="AG35" s="465" t="s">
        <v>689</v>
      </c>
      <c r="AJ35" s="310">
        <v>1</v>
      </c>
    </row>
    <row r="36" spans="1:36" s="310" customFormat="1" ht="93.75" hidden="1" customHeight="1" x14ac:dyDescent="0.2">
      <c r="B36" s="375">
        <v>96</v>
      </c>
      <c r="C36" s="373" t="s">
        <v>704</v>
      </c>
      <c r="D36" s="569">
        <v>25898</v>
      </c>
      <c r="E36" s="374">
        <v>25903</v>
      </c>
      <c r="F36" s="375"/>
      <c r="G36" s="376" t="s">
        <v>705</v>
      </c>
      <c r="H36" s="377" t="s">
        <v>696</v>
      </c>
      <c r="I36" s="374">
        <v>44652</v>
      </c>
      <c r="J36" s="375"/>
      <c r="K36" s="374"/>
      <c r="L36" s="378" t="s">
        <v>430</v>
      </c>
      <c r="M36" s="374" t="s">
        <v>662</v>
      </c>
      <c r="N36" s="378" t="s">
        <v>393</v>
      </c>
      <c r="O36" s="374" t="s">
        <v>707</v>
      </c>
      <c r="P36" s="375"/>
      <c r="Q36" s="375"/>
      <c r="R36" s="377">
        <v>4.9800000000000004</v>
      </c>
      <c r="S36" s="374">
        <v>42826</v>
      </c>
      <c r="T36" s="392"/>
      <c r="U36" s="393">
        <v>9249835.8150000013</v>
      </c>
      <c r="V36" s="223" t="s">
        <v>706</v>
      </c>
      <c r="W36" s="223"/>
      <c r="X36" s="394">
        <v>44927</v>
      </c>
      <c r="Y36" s="394" t="s">
        <v>713</v>
      </c>
      <c r="Z36" s="384" t="s">
        <v>158</v>
      </c>
      <c r="AA36" s="223"/>
      <c r="AB36" s="223"/>
      <c r="AC36" s="223"/>
      <c r="AD36" s="284">
        <f>SUM(AE36:AG36)</f>
        <v>196559011</v>
      </c>
      <c r="AE36" s="391"/>
      <c r="AF36" s="391">
        <v>196559011</v>
      </c>
      <c r="AG36" s="465" t="s">
        <v>697</v>
      </c>
    </row>
  </sheetData>
  <autoFilter ref="A14:AK24" xr:uid="{00000000-0009-0000-0000-000004000000}">
    <filterColumn colId="7" showButton="0"/>
    <filterColumn colId="9" showButton="0"/>
    <filterColumn colId="11" showButton="0"/>
    <filterColumn colId="13" showButton="0"/>
    <filterColumn colId="15" showButton="0"/>
    <filterColumn colId="17" showButton="0"/>
    <filterColumn colId="21" showButton="0"/>
    <filterColumn colId="25" showButton="0"/>
    <filterColumn colId="26" showButton="0"/>
    <filterColumn colId="27" showButton="0"/>
    <filterColumn colId="30" showButton="0"/>
  </autoFilter>
  <mergeCells count="44">
    <mergeCell ref="B12:AG12"/>
    <mergeCell ref="B13:AG13"/>
    <mergeCell ref="B14:B15"/>
    <mergeCell ref="L14:M14"/>
    <mergeCell ref="N14:O14"/>
    <mergeCell ref="P14:Q14"/>
    <mergeCell ref="V14:W14"/>
    <mergeCell ref="X14:X15"/>
    <mergeCell ref="Y14:Y15"/>
    <mergeCell ref="G14:G15"/>
    <mergeCell ref="R14:S14"/>
    <mergeCell ref="T14:T15"/>
    <mergeCell ref="AE14:AF14"/>
    <mergeCell ref="U14:U15"/>
    <mergeCell ref="H14:I14"/>
    <mergeCell ref="J14:K14"/>
    <mergeCell ref="DY11:FD11"/>
    <mergeCell ref="FE11:GJ11"/>
    <mergeCell ref="GK11:HP11"/>
    <mergeCell ref="HQ11:IV11"/>
    <mergeCell ref="CS11:DX11"/>
    <mergeCell ref="A11:AF11"/>
    <mergeCell ref="AG11:BL11"/>
    <mergeCell ref="BM11:CR11"/>
    <mergeCell ref="B10:AG10"/>
    <mergeCell ref="W4:AG4"/>
    <mergeCell ref="W5:AG5"/>
    <mergeCell ref="B8:AG8"/>
    <mergeCell ref="B9:AG9"/>
    <mergeCell ref="B1:F1"/>
    <mergeCell ref="Y1:AG1"/>
    <mergeCell ref="B2:F2"/>
    <mergeCell ref="B3:F3"/>
    <mergeCell ref="B7:AG7"/>
    <mergeCell ref="X2:AG2"/>
    <mergeCell ref="X3:AG3"/>
    <mergeCell ref="B4:F4"/>
    <mergeCell ref="B5:F5"/>
    <mergeCell ref="AG14:AG15"/>
    <mergeCell ref="C14:C15"/>
    <mergeCell ref="D14:D15"/>
    <mergeCell ref="F14:F15"/>
    <mergeCell ref="Z14:AC14"/>
    <mergeCell ref="AD14:AD15"/>
  </mergeCells>
  <phoneticPr fontId="22" type="noConversion"/>
  <pageMargins left="0.19685039370078741" right="0.15748031496062992" top="0.27559055118110237" bottom="0.15748031496062992" header="0.31496062992125984" footer="0.15748031496062992"/>
  <pageSetup paperSize="9" scale="47" orientation="landscape" r:id="rId1"/>
  <headerFooter>
    <oddFoote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U49"/>
  <sheetViews>
    <sheetView topLeftCell="I17" zoomScale="118" zoomScaleNormal="118" workbookViewId="0">
      <selection activeCell="Q17" sqref="Q17"/>
    </sheetView>
  </sheetViews>
  <sheetFormatPr defaultRowHeight="15" x14ac:dyDescent="0.25"/>
  <cols>
    <col min="1" max="1" width="10.7109375" style="116" customWidth="1"/>
    <col min="2" max="2" width="3.5703125" style="436" customWidth="1"/>
    <col min="3" max="3" width="15.7109375" style="435" customWidth="1"/>
    <col min="4" max="4" width="7.42578125" style="436" customWidth="1"/>
    <col min="5" max="5" width="7.5703125" style="436" customWidth="1"/>
    <col min="6" max="6" width="4.28515625" style="437" customWidth="1"/>
    <col min="7" max="7" width="16.42578125" style="438" customWidth="1"/>
    <col min="8" max="8" width="7.140625" style="437" customWidth="1"/>
    <col min="9" max="9" width="9" style="437" customWidth="1"/>
    <col min="10" max="10" width="3.7109375" style="437" customWidth="1"/>
    <col min="11" max="11" width="11.28515625" style="437" customWidth="1"/>
    <col min="12" max="12" width="3.28515625" style="437" customWidth="1"/>
    <col min="13" max="13" width="7.140625" style="437" customWidth="1"/>
    <col min="14" max="14" width="3.28515625" style="437" customWidth="1"/>
    <col min="15" max="15" width="7.5703125" style="437" customWidth="1"/>
    <col min="16" max="16" width="3.42578125" style="437" customWidth="1"/>
    <col min="17" max="17" width="7.5703125" style="437" customWidth="1"/>
    <col min="18" max="18" width="6.28515625" style="437" customWidth="1"/>
    <col min="19" max="19" width="9.140625" style="437" customWidth="1"/>
    <col min="20" max="21" width="9.140625" style="484" customWidth="1"/>
    <col min="22" max="22" width="3.28515625" style="484" customWidth="1"/>
    <col min="23" max="23" width="3.7109375" style="484" customWidth="1"/>
    <col min="24" max="24" width="4" style="484" customWidth="1"/>
    <col min="25" max="25" width="3.85546875" style="484" customWidth="1"/>
    <col min="26" max="26" width="5.140625" style="484" customWidth="1"/>
    <col min="27" max="27" width="5.28515625" style="484" customWidth="1"/>
    <col min="28" max="28" width="7.140625" style="484" customWidth="1"/>
    <col min="29" max="29" width="10.7109375" style="484" customWidth="1"/>
    <col min="30" max="30" width="11.140625" style="436" customWidth="1"/>
    <col min="31" max="31" width="5.140625" style="436" customWidth="1"/>
    <col min="32" max="32" width="8.7109375" style="436" customWidth="1"/>
    <col min="33" max="33" width="8" style="436" customWidth="1"/>
    <col min="34" max="34" width="8.140625" style="436" customWidth="1"/>
    <col min="35" max="35" width="4.5703125" style="436" customWidth="1"/>
    <col min="36" max="36" width="6.140625" style="436" customWidth="1"/>
    <col min="37" max="37" width="12.7109375" style="187" bestFit="1" customWidth="1"/>
    <col min="38" max="38" width="12.140625" style="436" customWidth="1"/>
    <col min="39" max="39" width="12" style="436" customWidth="1"/>
    <col min="40" max="40" width="11.7109375" style="436" customWidth="1"/>
    <col min="41" max="41" width="16.42578125" bestFit="1" customWidth="1"/>
    <col min="43" max="43" width="16.42578125" bestFit="1" customWidth="1"/>
  </cols>
  <sheetData>
    <row r="1" spans="1:255" x14ac:dyDescent="0.25">
      <c r="B1" s="666"/>
      <c r="C1" s="689"/>
      <c r="D1" s="666"/>
      <c r="E1" s="136"/>
      <c r="F1" s="397"/>
      <c r="G1" s="397"/>
      <c r="H1" s="397"/>
      <c r="I1" s="397"/>
      <c r="J1" s="397"/>
      <c r="K1" s="397"/>
      <c r="L1" s="397"/>
      <c r="M1" s="397"/>
      <c r="N1" s="397"/>
      <c r="O1" s="397"/>
      <c r="P1" s="397"/>
      <c r="Q1" s="397"/>
      <c r="R1" s="397"/>
      <c r="S1" s="397"/>
      <c r="T1" s="466"/>
      <c r="U1" s="466"/>
      <c r="V1" s="466"/>
      <c r="W1" s="466"/>
      <c r="X1" s="466"/>
      <c r="Y1" s="466"/>
      <c r="Z1" s="466"/>
      <c r="AA1" s="466"/>
      <c r="AB1" s="466"/>
      <c r="AC1" s="466"/>
      <c r="AD1" s="78"/>
      <c r="AE1" s="78"/>
      <c r="AF1" s="78"/>
      <c r="AG1" s="78"/>
      <c r="AH1" s="78"/>
      <c r="AI1" s="78"/>
      <c r="AJ1" s="78"/>
      <c r="AK1" s="667" t="s">
        <v>237</v>
      </c>
      <c r="AL1" s="667"/>
      <c r="AM1" s="667"/>
      <c r="AN1" s="667"/>
    </row>
    <row r="2" spans="1:255" x14ac:dyDescent="0.25">
      <c r="A2" s="269"/>
      <c r="B2" s="690" t="s">
        <v>232</v>
      </c>
      <c r="C2" s="691"/>
      <c r="D2" s="690"/>
      <c r="E2" s="270"/>
      <c r="F2" s="399"/>
      <c r="G2" s="399"/>
      <c r="H2" s="399"/>
      <c r="I2" s="399"/>
      <c r="J2" s="399"/>
      <c r="K2" s="399"/>
      <c r="L2" s="399"/>
      <c r="M2" s="399"/>
      <c r="N2" s="399"/>
      <c r="O2" s="399"/>
      <c r="P2" s="399"/>
      <c r="Q2" s="399"/>
      <c r="R2" s="399"/>
      <c r="S2" s="399"/>
      <c r="T2" s="467"/>
      <c r="U2" s="467"/>
      <c r="V2" s="467"/>
      <c r="W2" s="467"/>
      <c r="X2" s="467"/>
      <c r="Y2" s="467"/>
      <c r="Z2" s="467"/>
      <c r="AA2" s="467"/>
      <c r="AB2" s="467"/>
      <c r="AC2" s="467"/>
      <c r="AD2" s="271"/>
      <c r="AE2" s="271"/>
      <c r="AF2" s="692" t="s">
        <v>383</v>
      </c>
      <c r="AG2" s="692"/>
      <c r="AH2" s="692"/>
      <c r="AI2" s="692"/>
      <c r="AJ2" s="692"/>
      <c r="AK2" s="692"/>
      <c r="AL2" s="692"/>
      <c r="AM2" s="692"/>
      <c r="AN2" s="692"/>
    </row>
    <row r="3" spans="1:255" x14ac:dyDescent="0.25">
      <c r="A3" s="269"/>
      <c r="B3" s="693" t="s">
        <v>652</v>
      </c>
      <c r="C3" s="694"/>
      <c r="D3" s="693"/>
      <c r="E3" s="270"/>
      <c r="F3" s="399"/>
      <c r="G3" s="399"/>
      <c r="H3" s="399"/>
      <c r="I3" s="399"/>
      <c r="J3" s="399"/>
      <c r="K3" s="399"/>
      <c r="L3" s="399"/>
      <c r="M3" s="399"/>
      <c r="N3" s="399"/>
      <c r="O3" s="399"/>
      <c r="P3" s="399"/>
      <c r="Q3" s="399"/>
      <c r="R3" s="399"/>
      <c r="S3" s="399"/>
      <c r="T3" s="467"/>
      <c r="U3" s="467"/>
      <c r="V3" s="467"/>
      <c r="W3" s="467"/>
      <c r="X3" s="467"/>
      <c r="Y3" s="467"/>
      <c r="Z3" s="467"/>
      <c r="AA3" s="467"/>
      <c r="AB3" s="467"/>
      <c r="AC3" s="467"/>
      <c r="AD3" s="271"/>
      <c r="AE3" s="271"/>
      <c r="AF3" s="693" t="s">
        <v>384</v>
      </c>
      <c r="AG3" s="693"/>
      <c r="AH3" s="693"/>
      <c r="AI3" s="693"/>
      <c r="AJ3" s="693"/>
      <c r="AK3" s="693"/>
      <c r="AL3" s="693"/>
      <c r="AM3" s="693"/>
      <c r="AN3" s="693"/>
    </row>
    <row r="4" spans="1:255" x14ac:dyDescent="0.25">
      <c r="A4" s="269"/>
      <c r="B4" s="692"/>
      <c r="C4" s="692"/>
      <c r="D4" s="692"/>
      <c r="E4" s="270"/>
      <c r="F4" s="399"/>
      <c r="G4" s="399"/>
      <c r="H4" s="399"/>
      <c r="I4" s="399"/>
      <c r="J4" s="399"/>
      <c r="K4" s="399"/>
      <c r="L4" s="399"/>
      <c r="M4" s="399"/>
      <c r="N4" s="399"/>
      <c r="O4" s="399"/>
      <c r="P4" s="399"/>
      <c r="Q4" s="399"/>
      <c r="R4" s="399"/>
      <c r="S4" s="399"/>
      <c r="T4" s="467"/>
      <c r="U4" s="467"/>
      <c r="V4" s="467"/>
      <c r="W4" s="467"/>
      <c r="X4" s="467"/>
      <c r="Y4" s="467"/>
      <c r="Z4" s="467"/>
      <c r="AA4" s="467"/>
      <c r="AB4" s="467"/>
      <c r="AC4" s="467"/>
      <c r="AD4" s="271"/>
      <c r="AE4" s="271"/>
      <c r="AF4" s="692"/>
      <c r="AG4" s="692"/>
      <c r="AH4" s="692"/>
      <c r="AI4" s="692"/>
      <c r="AJ4" s="692"/>
      <c r="AK4" s="692"/>
      <c r="AL4" s="692"/>
      <c r="AM4" s="692"/>
      <c r="AN4" s="692"/>
    </row>
    <row r="5" spans="1:255" x14ac:dyDescent="0.25">
      <c r="A5" s="269"/>
      <c r="B5" s="693"/>
      <c r="C5" s="693"/>
      <c r="D5" s="693"/>
      <c r="E5" s="270"/>
      <c r="F5" s="399"/>
      <c r="G5" s="399"/>
      <c r="H5" s="399"/>
      <c r="I5" s="399"/>
      <c r="J5" s="399"/>
      <c r="K5" s="399"/>
      <c r="L5" s="399"/>
      <c r="M5" s="399"/>
      <c r="N5" s="399"/>
      <c r="O5" s="399"/>
      <c r="P5" s="399"/>
      <c r="Q5" s="399"/>
      <c r="R5" s="399"/>
      <c r="S5" s="399"/>
      <c r="T5" s="467"/>
      <c r="U5" s="467"/>
      <c r="V5" s="467"/>
      <c r="W5" s="467"/>
      <c r="X5" s="467"/>
      <c r="Y5" s="467"/>
      <c r="Z5" s="467"/>
      <c r="AA5" s="467"/>
      <c r="AB5" s="467"/>
      <c r="AC5" s="467"/>
      <c r="AD5" s="271"/>
      <c r="AE5" s="271"/>
      <c r="AF5" s="693"/>
      <c r="AG5" s="693"/>
      <c r="AH5" s="693"/>
      <c r="AI5" s="693"/>
      <c r="AJ5" s="693"/>
      <c r="AK5" s="693"/>
      <c r="AL5" s="693"/>
      <c r="AM5" s="693"/>
      <c r="AN5" s="693"/>
    </row>
    <row r="6" spans="1:255" x14ac:dyDescent="0.25">
      <c r="A6" s="269"/>
      <c r="B6" s="368"/>
      <c r="C6" s="368"/>
      <c r="D6" s="368"/>
      <c r="E6" s="270"/>
      <c r="F6" s="399"/>
      <c r="G6" s="399"/>
      <c r="H6" s="399"/>
      <c r="I6" s="399"/>
      <c r="J6" s="399"/>
      <c r="K6" s="399"/>
      <c r="L6" s="399"/>
      <c r="M6" s="399"/>
      <c r="N6" s="399"/>
      <c r="O6" s="399"/>
      <c r="P6" s="399"/>
      <c r="Q6" s="399"/>
      <c r="R6" s="399"/>
      <c r="S6" s="399"/>
      <c r="T6" s="467"/>
      <c r="U6" s="467"/>
      <c r="V6" s="467"/>
      <c r="W6" s="467"/>
      <c r="X6" s="467"/>
      <c r="Y6" s="467"/>
      <c r="Z6" s="467"/>
      <c r="AA6" s="467"/>
      <c r="AB6" s="467"/>
      <c r="AC6" s="467"/>
      <c r="AD6" s="271"/>
      <c r="AE6" s="271"/>
      <c r="AF6" s="368"/>
      <c r="AG6" s="368"/>
      <c r="AH6" s="368"/>
      <c r="AI6" s="368"/>
      <c r="AJ6" s="368"/>
      <c r="AK6" s="368"/>
      <c r="AL6" s="368"/>
      <c r="AM6" s="368"/>
      <c r="AN6" s="368"/>
    </row>
    <row r="7" spans="1:255" s="217" customFormat="1" ht="15.75" x14ac:dyDescent="0.25">
      <c r="A7" s="268"/>
      <c r="B7" s="652" t="s">
        <v>654</v>
      </c>
      <c r="C7" s="695"/>
      <c r="D7" s="652"/>
      <c r="E7" s="652"/>
      <c r="F7" s="652"/>
      <c r="G7" s="652"/>
      <c r="H7" s="652"/>
      <c r="I7" s="652"/>
      <c r="J7" s="652"/>
      <c r="K7" s="652"/>
      <c r="L7" s="652"/>
      <c r="M7" s="652"/>
      <c r="N7" s="652"/>
      <c r="O7" s="652"/>
      <c r="P7" s="652"/>
      <c r="Q7" s="652"/>
      <c r="R7" s="652"/>
      <c r="S7" s="652"/>
      <c r="T7" s="652"/>
      <c r="U7" s="652"/>
      <c r="V7" s="652"/>
      <c r="W7" s="695"/>
      <c r="X7" s="652"/>
      <c r="Y7" s="652"/>
      <c r="Z7" s="695"/>
      <c r="AA7" s="652"/>
      <c r="AB7" s="695"/>
      <c r="AC7" s="652"/>
      <c r="AD7" s="652"/>
      <c r="AE7" s="652"/>
      <c r="AF7" s="652"/>
      <c r="AG7" s="652"/>
      <c r="AH7" s="652"/>
      <c r="AI7" s="652"/>
      <c r="AJ7" s="652"/>
      <c r="AK7" s="652"/>
      <c r="AL7" s="652"/>
      <c r="AM7" s="652"/>
      <c r="AN7" s="652"/>
    </row>
    <row r="8" spans="1:255" s="125" customFormat="1" ht="15.75" x14ac:dyDescent="0.2">
      <c r="A8" s="116"/>
      <c r="B8" s="696" t="s">
        <v>651</v>
      </c>
      <c r="C8" s="697"/>
      <c r="D8" s="696"/>
      <c r="E8" s="696"/>
      <c r="F8" s="696"/>
      <c r="G8" s="696"/>
      <c r="H8" s="696"/>
      <c r="I8" s="696"/>
      <c r="J8" s="696"/>
      <c r="K8" s="696"/>
      <c r="L8" s="696"/>
      <c r="M8" s="696"/>
      <c r="N8" s="696"/>
      <c r="O8" s="696"/>
      <c r="P8" s="696"/>
      <c r="Q8" s="696"/>
      <c r="R8" s="696"/>
      <c r="S8" s="696"/>
      <c r="T8" s="696"/>
      <c r="U8" s="696"/>
      <c r="V8" s="696"/>
      <c r="W8" s="697"/>
      <c r="X8" s="696"/>
      <c r="Y8" s="696"/>
      <c r="Z8" s="697"/>
      <c r="AA8" s="696"/>
      <c r="AB8" s="697"/>
      <c r="AC8" s="696"/>
      <c r="AD8" s="696"/>
      <c r="AE8" s="696"/>
      <c r="AF8" s="696"/>
      <c r="AG8" s="696"/>
      <c r="AH8" s="696"/>
      <c r="AI8" s="696"/>
      <c r="AJ8" s="696"/>
      <c r="AK8" s="696"/>
      <c r="AL8" s="696"/>
      <c r="AM8" s="696"/>
      <c r="AN8" s="696"/>
    </row>
    <row r="9" spans="1:255" s="125" customFormat="1" ht="15.75" x14ac:dyDescent="0.2">
      <c r="A9" s="116"/>
      <c r="B9" s="696"/>
      <c r="C9" s="697"/>
      <c r="D9" s="696"/>
      <c r="E9" s="696"/>
      <c r="F9" s="696"/>
      <c r="G9" s="696"/>
      <c r="H9" s="696"/>
      <c r="I9" s="696"/>
      <c r="J9" s="696"/>
      <c r="K9" s="696"/>
      <c r="L9" s="696"/>
      <c r="M9" s="696"/>
      <c r="N9" s="696"/>
      <c r="O9" s="696"/>
      <c r="P9" s="696"/>
      <c r="Q9" s="696"/>
      <c r="R9" s="696"/>
      <c r="S9" s="696"/>
      <c r="T9" s="696"/>
      <c r="U9" s="696"/>
      <c r="V9" s="696"/>
      <c r="W9" s="696"/>
      <c r="X9" s="696"/>
      <c r="Y9" s="696"/>
      <c r="Z9" s="696"/>
      <c r="AA9" s="696"/>
      <c r="AB9" s="696"/>
      <c r="AC9" s="696"/>
      <c r="AD9" s="696"/>
      <c r="AE9" s="696"/>
      <c r="AF9" s="696"/>
      <c r="AG9" s="696"/>
      <c r="AH9" s="696"/>
      <c r="AI9" s="696"/>
      <c r="AJ9" s="696"/>
      <c r="AK9" s="696"/>
      <c r="AL9" s="696"/>
      <c r="AM9" s="696"/>
      <c r="AN9" s="696"/>
    </row>
    <row r="10" spans="1:255" s="125" customFormat="1" ht="15.75" hidden="1" x14ac:dyDescent="0.2">
      <c r="A10" s="116"/>
      <c r="B10" s="696" t="s">
        <v>653</v>
      </c>
      <c r="C10" s="697"/>
      <c r="D10" s="696"/>
      <c r="E10" s="696"/>
      <c r="F10" s="696"/>
      <c r="G10" s="696"/>
      <c r="H10" s="696"/>
      <c r="I10" s="696"/>
      <c r="J10" s="696"/>
      <c r="K10" s="696"/>
      <c r="L10" s="696"/>
      <c r="M10" s="696"/>
      <c r="N10" s="696"/>
      <c r="O10" s="696"/>
      <c r="P10" s="696"/>
      <c r="Q10" s="696"/>
      <c r="R10" s="696"/>
      <c r="S10" s="696"/>
      <c r="T10" s="696"/>
      <c r="U10" s="696"/>
      <c r="V10" s="696"/>
      <c r="W10" s="696"/>
      <c r="X10" s="696"/>
      <c r="Y10" s="696"/>
      <c r="Z10" s="696"/>
      <c r="AA10" s="696"/>
      <c r="AB10" s="696"/>
      <c r="AC10" s="696"/>
      <c r="AD10" s="696"/>
      <c r="AE10" s="696"/>
      <c r="AF10" s="696"/>
      <c r="AG10" s="696"/>
      <c r="AH10" s="696"/>
      <c r="AI10" s="696"/>
      <c r="AJ10" s="696"/>
      <c r="AK10" s="696"/>
      <c r="AL10" s="696"/>
      <c r="AM10" s="696"/>
      <c r="AN10" s="696"/>
    </row>
    <row r="11" spans="1:255" s="125" customFormat="1" ht="3.75" customHeight="1" x14ac:dyDescent="0.2">
      <c r="A11" s="116"/>
      <c r="B11" s="696"/>
      <c r="C11" s="697"/>
      <c r="D11" s="696"/>
      <c r="E11" s="696"/>
      <c r="F11" s="696"/>
      <c r="G11" s="696"/>
      <c r="H11" s="696"/>
      <c r="I11" s="696"/>
      <c r="J11" s="696"/>
      <c r="K11" s="696"/>
      <c r="L11" s="696"/>
      <c r="M11" s="696"/>
      <c r="N11" s="696"/>
      <c r="O11" s="696"/>
      <c r="P11" s="696"/>
      <c r="Q11" s="696"/>
      <c r="R11" s="696"/>
      <c r="S11" s="696"/>
      <c r="T11" s="696"/>
      <c r="U11" s="696"/>
      <c r="V11" s="696"/>
      <c r="W11" s="696"/>
      <c r="X11" s="696"/>
      <c r="Y11" s="696"/>
      <c r="Z11" s="696"/>
      <c r="AA11" s="696"/>
      <c r="AB11" s="696"/>
      <c r="AC11" s="696"/>
      <c r="AD11" s="696"/>
      <c r="AE11" s="696"/>
      <c r="AF11" s="696"/>
      <c r="AG11" s="696"/>
      <c r="AH11" s="696"/>
      <c r="AI11" s="696"/>
      <c r="AJ11" s="696"/>
      <c r="AK11" s="696"/>
      <c r="AL11" s="696"/>
      <c r="AM11" s="696"/>
      <c r="AN11" s="696"/>
    </row>
    <row r="12" spans="1:255" s="125" customFormat="1" ht="4.5" customHeight="1" thickBot="1" x14ac:dyDescent="0.25">
      <c r="A12" s="116"/>
      <c r="B12" s="698"/>
      <c r="C12" s="699"/>
      <c r="D12" s="698"/>
      <c r="E12" s="698"/>
      <c r="F12" s="698"/>
      <c r="G12" s="698"/>
      <c r="H12" s="698"/>
      <c r="I12" s="698"/>
      <c r="J12" s="698"/>
      <c r="K12" s="698"/>
      <c r="L12" s="698"/>
      <c r="M12" s="698"/>
      <c r="N12" s="698"/>
      <c r="O12" s="698"/>
      <c r="P12" s="698"/>
      <c r="Q12" s="698"/>
      <c r="R12" s="698"/>
      <c r="S12" s="698"/>
      <c r="T12" s="698"/>
      <c r="U12" s="698"/>
      <c r="V12" s="698"/>
      <c r="W12" s="699"/>
      <c r="X12" s="698"/>
      <c r="Y12" s="698"/>
      <c r="Z12" s="699"/>
      <c r="AA12" s="698"/>
      <c r="AB12" s="699"/>
      <c r="AC12" s="698"/>
      <c r="AD12" s="698"/>
      <c r="AE12" s="698"/>
      <c r="AF12" s="698"/>
      <c r="AG12" s="698"/>
      <c r="AH12" s="698"/>
      <c r="AI12" s="698"/>
      <c r="AJ12" s="698"/>
      <c r="AK12" s="698"/>
      <c r="AL12" s="698"/>
      <c r="AM12" s="698"/>
      <c r="AN12" s="698"/>
    </row>
    <row r="13" spans="1:255" s="402" customFormat="1" ht="51" customHeight="1" x14ac:dyDescent="0.25">
      <c r="A13" s="116"/>
      <c r="B13" s="700" t="s">
        <v>3</v>
      </c>
      <c r="C13" s="702" t="s">
        <v>4</v>
      </c>
      <c r="D13" s="704" t="s">
        <v>5</v>
      </c>
      <c r="E13" s="702" t="s">
        <v>189</v>
      </c>
      <c r="F13" s="706" t="s">
        <v>6</v>
      </c>
      <c r="G13" s="704" t="s">
        <v>7</v>
      </c>
      <c r="H13" s="708" t="s">
        <v>8</v>
      </c>
      <c r="I13" s="709"/>
      <c r="J13" s="708" t="s">
        <v>179</v>
      </c>
      <c r="K13" s="709"/>
      <c r="L13" s="708" t="s">
        <v>176</v>
      </c>
      <c r="M13" s="709"/>
      <c r="N13" s="708" t="s">
        <v>177</v>
      </c>
      <c r="O13" s="709"/>
      <c r="P13" s="708" t="s">
        <v>178</v>
      </c>
      <c r="Q13" s="709"/>
      <c r="R13" s="708" t="s">
        <v>13</v>
      </c>
      <c r="S13" s="709"/>
      <c r="T13" s="712" t="s">
        <v>83</v>
      </c>
      <c r="U13" s="713"/>
      <c r="V13" s="713"/>
      <c r="W13" s="713"/>
      <c r="X13" s="713"/>
      <c r="Y13" s="713"/>
      <c r="Z13" s="713"/>
      <c r="AA13" s="713"/>
      <c r="AB13" s="713"/>
      <c r="AC13" s="714"/>
      <c r="AD13" s="704" t="s">
        <v>97</v>
      </c>
      <c r="AE13" s="708" t="s">
        <v>14</v>
      </c>
      <c r="AF13" s="709"/>
      <c r="AG13" s="704" t="s">
        <v>15</v>
      </c>
      <c r="AH13" s="704" t="s">
        <v>16</v>
      </c>
      <c r="AI13" s="710" t="s">
        <v>149</v>
      </c>
      <c r="AJ13" s="710" t="s">
        <v>93</v>
      </c>
      <c r="AK13" s="712" t="s">
        <v>95</v>
      </c>
      <c r="AL13" s="713"/>
      <c r="AM13" s="713"/>
      <c r="AN13" s="714"/>
      <c r="AO13" s="401"/>
    </row>
    <row r="14" spans="1:255" s="402" customFormat="1" ht="69.75" customHeight="1" x14ac:dyDescent="0.25">
      <c r="A14" s="116"/>
      <c r="B14" s="701"/>
      <c r="C14" s="703"/>
      <c r="D14" s="705"/>
      <c r="E14" s="703"/>
      <c r="F14" s="707"/>
      <c r="G14" s="705"/>
      <c r="H14" s="403" t="s">
        <v>18</v>
      </c>
      <c r="I14" s="404" t="s">
        <v>19</v>
      </c>
      <c r="J14" s="404" t="s">
        <v>20</v>
      </c>
      <c r="K14" s="404" t="s">
        <v>19</v>
      </c>
      <c r="L14" s="403" t="s">
        <v>21</v>
      </c>
      <c r="M14" s="404" t="s">
        <v>19</v>
      </c>
      <c r="N14" s="403" t="s">
        <v>21</v>
      </c>
      <c r="O14" s="404" t="s">
        <v>19</v>
      </c>
      <c r="P14" s="404" t="s">
        <v>20</v>
      </c>
      <c r="Q14" s="404" t="s">
        <v>19</v>
      </c>
      <c r="R14" s="404" t="s">
        <v>20</v>
      </c>
      <c r="S14" s="404" t="s">
        <v>19</v>
      </c>
      <c r="T14" s="468" t="s">
        <v>84</v>
      </c>
      <c r="U14" s="468" t="s">
        <v>85</v>
      </c>
      <c r="V14" s="469" t="s">
        <v>86</v>
      </c>
      <c r="W14" s="469" t="s">
        <v>20</v>
      </c>
      <c r="X14" s="469" t="s">
        <v>87</v>
      </c>
      <c r="Y14" s="469" t="s">
        <v>91</v>
      </c>
      <c r="Z14" s="469" t="s">
        <v>92</v>
      </c>
      <c r="AA14" s="469" t="s">
        <v>90</v>
      </c>
      <c r="AB14" s="468" t="s">
        <v>88</v>
      </c>
      <c r="AC14" s="468" t="s">
        <v>89</v>
      </c>
      <c r="AD14" s="705"/>
      <c r="AE14" s="404" t="s">
        <v>22</v>
      </c>
      <c r="AF14" s="407" t="s">
        <v>23</v>
      </c>
      <c r="AG14" s="705"/>
      <c r="AH14" s="705"/>
      <c r="AI14" s="711"/>
      <c r="AJ14" s="711"/>
      <c r="AK14" s="408" t="s">
        <v>24</v>
      </c>
      <c r="AL14" s="409" t="s">
        <v>25</v>
      </c>
      <c r="AM14" s="409" t="s">
        <v>26</v>
      </c>
      <c r="AN14" s="409" t="s">
        <v>27</v>
      </c>
      <c r="AO14" s="401"/>
    </row>
    <row r="15" spans="1:255" s="413" customFormat="1" x14ac:dyDescent="0.25">
      <c r="A15" s="410"/>
      <c r="B15" s="411"/>
      <c r="C15" s="412" t="s">
        <v>28</v>
      </c>
      <c r="D15" s="243">
        <v>1</v>
      </c>
      <c r="E15" s="243"/>
      <c r="F15" s="243">
        <v>2</v>
      </c>
      <c r="G15" s="243">
        <v>3</v>
      </c>
      <c r="H15" s="243">
        <v>4</v>
      </c>
      <c r="I15" s="243">
        <v>5</v>
      </c>
      <c r="J15" s="243">
        <v>6</v>
      </c>
      <c r="K15" s="243">
        <v>7</v>
      </c>
      <c r="L15" s="243">
        <v>8</v>
      </c>
      <c r="M15" s="243">
        <v>9</v>
      </c>
      <c r="N15" s="243">
        <v>10</v>
      </c>
      <c r="O15" s="243">
        <v>11</v>
      </c>
      <c r="P15" s="243">
        <v>12</v>
      </c>
      <c r="Q15" s="243">
        <v>13</v>
      </c>
      <c r="R15" s="243">
        <v>14</v>
      </c>
      <c r="S15" s="243">
        <v>15</v>
      </c>
      <c r="T15" s="470"/>
      <c r="U15" s="470"/>
      <c r="V15" s="470"/>
      <c r="W15" s="470"/>
      <c r="X15" s="470"/>
      <c r="Y15" s="470"/>
      <c r="Z15" s="470"/>
      <c r="AA15" s="470"/>
      <c r="AB15" s="470"/>
      <c r="AC15" s="470"/>
      <c r="AD15" s="243">
        <v>16</v>
      </c>
      <c r="AE15" s="243">
        <v>17</v>
      </c>
      <c r="AF15" s="243">
        <v>18</v>
      </c>
      <c r="AG15" s="243">
        <v>19</v>
      </c>
      <c r="AH15" s="243">
        <v>20</v>
      </c>
      <c r="AI15" s="243"/>
      <c r="AJ15" s="243"/>
      <c r="AK15" s="243">
        <v>21</v>
      </c>
      <c r="AL15" s="243">
        <v>22</v>
      </c>
      <c r="AM15" s="243">
        <v>23</v>
      </c>
      <c r="AN15" s="243">
        <v>24</v>
      </c>
    </row>
    <row r="16" spans="1:255" s="422" customFormat="1" x14ac:dyDescent="0.25">
      <c r="A16" s="116"/>
      <c r="B16" s="414" t="s">
        <v>155</v>
      </c>
      <c r="C16" s="273" t="s">
        <v>33</v>
      </c>
      <c r="D16" s="274" t="str">
        <f>COUNT(#REF!)&amp;" hồ sơ"</f>
        <v>0 hồ sơ</v>
      </c>
      <c r="E16" s="275"/>
      <c r="F16" s="415"/>
      <c r="G16" s="416"/>
      <c r="H16" s="415"/>
      <c r="I16" s="415"/>
      <c r="J16" s="415"/>
      <c r="K16" s="415"/>
      <c r="L16" s="415"/>
      <c r="M16" s="415"/>
      <c r="N16" s="415"/>
      <c r="O16" s="415"/>
      <c r="P16" s="415"/>
      <c r="Q16" s="415"/>
      <c r="R16" s="415"/>
      <c r="S16" s="415"/>
      <c r="T16" s="471"/>
      <c r="U16" s="471"/>
      <c r="V16" s="471"/>
      <c r="W16" s="471"/>
      <c r="X16" s="471"/>
      <c r="Y16" s="471"/>
      <c r="Z16" s="471"/>
      <c r="AA16" s="471"/>
      <c r="AB16" s="471"/>
      <c r="AC16" s="471"/>
      <c r="AD16" s="275"/>
      <c r="AE16" s="275"/>
      <c r="AF16" s="275"/>
      <c r="AG16" s="275"/>
      <c r="AH16" s="275"/>
      <c r="AI16" s="275"/>
      <c r="AJ16" s="275"/>
      <c r="AK16" s="276" t="e">
        <f>SUM(#REF!)</f>
        <v>#REF!</v>
      </c>
      <c r="AL16" s="276" t="e">
        <f>SUM(#REF!)</f>
        <v>#REF!</v>
      </c>
      <c r="AM16" s="276" t="e">
        <f>SUM(#REF!)</f>
        <v>#REF!</v>
      </c>
      <c r="AN16" s="276" t="e">
        <f>SUM(#REF!)</f>
        <v>#REF!</v>
      </c>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row>
    <row r="17" spans="1:255" s="422" customFormat="1" ht="72" x14ac:dyDescent="0.25">
      <c r="A17" s="116" t="s">
        <v>400</v>
      </c>
      <c r="B17" s="137">
        <v>1</v>
      </c>
      <c r="C17" s="365" t="s">
        <v>684</v>
      </c>
      <c r="D17" s="139">
        <v>24811</v>
      </c>
      <c r="E17" s="98">
        <f t="shared" ref="E17" si="0">DATE(YEAR(D17),MONTH(D17)+1,1)</f>
        <v>24838</v>
      </c>
      <c r="F17" s="140"/>
      <c r="G17" s="213" t="s">
        <v>685</v>
      </c>
      <c r="H17" s="367">
        <v>4.2699999999999996</v>
      </c>
      <c r="I17" s="366">
        <v>43101</v>
      </c>
      <c r="J17" s="140"/>
      <c r="K17" s="139"/>
      <c r="L17" s="161" t="s">
        <v>396</v>
      </c>
      <c r="M17" s="139" t="s">
        <v>687</v>
      </c>
      <c r="N17" s="161"/>
      <c r="O17" s="139"/>
      <c r="P17" s="140"/>
      <c r="Q17" s="140"/>
      <c r="R17" s="155" t="s">
        <v>660</v>
      </c>
      <c r="S17" s="139" t="s">
        <v>686</v>
      </c>
      <c r="T17" s="472">
        <f>EDATE(AG17,-60)</f>
        <v>43374</v>
      </c>
      <c r="U17" s="473" t="s">
        <v>756</v>
      </c>
      <c r="V17" s="474" t="e">
        <f t="shared" ref="V17:V27" si="1">ROUND(DAYS360(T17,U17,0)/30,0)</f>
        <v>#VALUE!</v>
      </c>
      <c r="W17" s="475">
        <v>3.65</v>
      </c>
      <c r="X17" s="475"/>
      <c r="Y17" s="476"/>
      <c r="Z17" s="526">
        <v>0.18</v>
      </c>
      <c r="AA17" s="478">
        <f t="shared" ref="AA17:AA27" si="2">W17+X17+Y17*W17+(W17+X17+Y17*W17)*Z17</f>
        <v>4.3069999999999995</v>
      </c>
      <c r="AB17" s="479">
        <v>1150000</v>
      </c>
      <c r="AC17" s="479" t="e">
        <f t="shared" ref="AC17:AC27" si="3">V17*AA17*AB17</f>
        <v>#VALUE!</v>
      </c>
      <c r="AD17" s="163" t="e">
        <f>AC28/V28</f>
        <v>#VALUE!</v>
      </c>
      <c r="AE17" s="140" t="s">
        <v>688</v>
      </c>
      <c r="AF17" s="140"/>
      <c r="AG17" s="139">
        <v>45200</v>
      </c>
      <c r="AH17" s="140" t="str">
        <f>DATEDIF(E17,AG17,"y")&amp;"t"&amp;DATEDIF(E17,AG17,"ym")&amp;"th"</f>
        <v>55t9th</v>
      </c>
      <c r="AI17" s="98" t="s">
        <v>683</v>
      </c>
      <c r="AJ17" s="113" t="str">
        <f>QUOTIENT((VALUE(LEFT(AI17,2))*12+VALUE(MID(AI17,4,LEN(AI17)-5))-(VALUE(LEFT(AH17,2))*12+VALUE(MID(AH17,4,LEN(AH17)-5)))),12)&amp;"n"&amp;MOD(VALUE(LEFT(AI17,2))*12+VALUE(MID(AI17,4,LEN(AI17)-5))-(VALUE(LEFT(AH17,2))*12+VALUE(MID(AH17,4,LEN(AH17)-5))),12)&amp;"t"</f>
        <v>5n0t</v>
      </c>
      <c r="AK17" s="385" t="e">
        <f>SUM(AL17:AN17)</f>
        <v>#VALUE!</v>
      </c>
      <c r="AL17" s="163" t="e">
        <f>ROUND(IF(LEN(AJ17)&lt;3,VALUE(LEFT(AJ17,1))*3*AD17,(VALUE(LEFT(AJ17,1))*3+IF(VALUE(MID(AJ17,3,LEN(AJ17)-3))&gt;6,2,IF(VALUE(MID(AJ17,3,LEN(AJ17)-3))&gt;0,1,0)))*AD17),0)</f>
        <v>#VALUE!</v>
      </c>
      <c r="AM17" s="163" t="e">
        <f>ROUND(5*AD17,0)</f>
        <v>#VALUE!</v>
      </c>
      <c r="AN17" s="164" t="e">
        <f>ROUND(((VALUE(LEFT(AE17,2)-20))+IF(LEN(AE17)&lt;4,0,IF(VALUE(MID(AE17,4,LEN(AE17)-4))&gt;6,1,IF(VALUE(MID(AE17,4,LEN(AE17)-4))&gt;2,0.5,0))))*AD17*1/2,0)</f>
        <v>#VALUE!</v>
      </c>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row>
    <row r="18" spans="1:255" s="422" customFormat="1" x14ac:dyDescent="0.25">
      <c r="A18" s="116"/>
      <c r="B18" s="96"/>
      <c r="C18" s="463"/>
      <c r="D18" s="98"/>
      <c r="E18" s="98"/>
      <c r="F18" s="99"/>
      <c r="G18" s="212"/>
      <c r="H18" s="464"/>
      <c r="I18" s="395"/>
      <c r="J18" s="99"/>
      <c r="K18" s="98"/>
      <c r="L18" s="141"/>
      <c r="M18" s="98"/>
      <c r="N18" s="141"/>
      <c r="O18" s="98"/>
      <c r="P18" s="99"/>
      <c r="Q18" s="99"/>
      <c r="R18" s="100"/>
      <c r="S18" s="98"/>
      <c r="T18" s="473">
        <v>41609</v>
      </c>
      <c r="U18" s="473">
        <v>41973</v>
      </c>
      <c r="V18" s="474">
        <f t="shared" si="1"/>
        <v>12</v>
      </c>
      <c r="W18" s="475">
        <v>3.65</v>
      </c>
      <c r="X18" s="475"/>
      <c r="Y18" s="476"/>
      <c r="Z18" s="526">
        <v>0.18</v>
      </c>
      <c r="AA18" s="478">
        <f t="shared" si="2"/>
        <v>4.3069999999999995</v>
      </c>
      <c r="AB18" s="479">
        <v>1150000</v>
      </c>
      <c r="AC18" s="479">
        <f t="shared" si="3"/>
        <v>59436600</v>
      </c>
      <c r="AD18" s="225"/>
      <c r="AE18" s="99"/>
      <c r="AF18" s="99"/>
      <c r="AG18" s="98"/>
      <c r="AH18" s="99"/>
      <c r="AI18" s="98"/>
      <c r="AJ18" s="113"/>
      <c r="AK18" s="441"/>
      <c r="AL18" s="103"/>
      <c r="AM18" s="103"/>
      <c r="AN18" s="102"/>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row>
    <row r="19" spans="1:255" s="422" customFormat="1" x14ac:dyDescent="0.25">
      <c r="A19" s="116"/>
      <c r="B19" s="96"/>
      <c r="C19" s="463"/>
      <c r="D19" s="98"/>
      <c r="E19" s="98"/>
      <c r="F19" s="99"/>
      <c r="G19" s="212"/>
      <c r="H19" s="464"/>
      <c r="I19" s="395"/>
      <c r="J19" s="99"/>
      <c r="K19" s="98"/>
      <c r="L19" s="141"/>
      <c r="M19" s="98"/>
      <c r="N19" s="141"/>
      <c r="O19" s="98"/>
      <c r="P19" s="99"/>
      <c r="Q19" s="99"/>
      <c r="R19" s="100"/>
      <c r="S19" s="98"/>
      <c r="T19" s="473">
        <v>41974</v>
      </c>
      <c r="U19" s="473">
        <v>42004</v>
      </c>
      <c r="V19" s="474">
        <f t="shared" si="1"/>
        <v>1</v>
      </c>
      <c r="W19" s="475">
        <v>3.65</v>
      </c>
      <c r="X19" s="475"/>
      <c r="Y19" s="476"/>
      <c r="Z19" s="526">
        <v>0.19</v>
      </c>
      <c r="AA19" s="478">
        <f t="shared" si="2"/>
        <v>4.3434999999999997</v>
      </c>
      <c r="AB19" s="479">
        <v>1150000</v>
      </c>
      <c r="AC19" s="479">
        <f t="shared" si="3"/>
        <v>4995025</v>
      </c>
      <c r="AD19" s="225"/>
      <c r="AE19" s="99"/>
      <c r="AF19" s="99"/>
      <c r="AG19" s="98"/>
      <c r="AH19" s="99"/>
      <c r="AI19" s="98"/>
      <c r="AJ19" s="113"/>
      <c r="AK19" s="441"/>
      <c r="AL19" s="103"/>
      <c r="AM19" s="103"/>
      <c r="AN19" s="102"/>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row>
    <row r="20" spans="1:255" s="422" customFormat="1" x14ac:dyDescent="0.25">
      <c r="A20" s="116"/>
      <c r="B20" s="96"/>
      <c r="C20" s="463"/>
      <c r="D20" s="98"/>
      <c r="E20" s="98"/>
      <c r="F20" s="99"/>
      <c r="G20" s="212"/>
      <c r="H20" s="464"/>
      <c r="I20" s="395"/>
      <c r="J20" s="99"/>
      <c r="K20" s="98"/>
      <c r="L20" s="141"/>
      <c r="M20" s="98"/>
      <c r="N20" s="141"/>
      <c r="O20" s="98"/>
      <c r="P20" s="99"/>
      <c r="Q20" s="99"/>
      <c r="R20" s="100"/>
      <c r="S20" s="98"/>
      <c r="T20" s="473">
        <v>42005</v>
      </c>
      <c r="U20" s="473">
        <v>42338</v>
      </c>
      <c r="V20" s="474">
        <f t="shared" si="1"/>
        <v>11</v>
      </c>
      <c r="W20" s="475">
        <v>3.96</v>
      </c>
      <c r="X20" s="475"/>
      <c r="Y20" s="476"/>
      <c r="Z20" s="526">
        <v>0.19</v>
      </c>
      <c r="AA20" s="478">
        <f t="shared" si="2"/>
        <v>4.7123999999999997</v>
      </c>
      <c r="AB20" s="479">
        <v>1150000</v>
      </c>
      <c r="AC20" s="479">
        <f t="shared" si="3"/>
        <v>59611860</v>
      </c>
      <c r="AD20" s="225"/>
      <c r="AE20" s="99"/>
      <c r="AF20" s="99"/>
      <c r="AG20" s="98"/>
      <c r="AH20" s="99"/>
      <c r="AI20" s="98"/>
      <c r="AJ20" s="113"/>
      <c r="AK20" s="441"/>
      <c r="AL20" s="103"/>
      <c r="AM20" s="103"/>
      <c r="AN20" s="102"/>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row>
    <row r="21" spans="1:255" s="422" customFormat="1" x14ac:dyDescent="0.25">
      <c r="A21" s="116"/>
      <c r="B21" s="96"/>
      <c r="C21" s="463"/>
      <c r="D21" s="98"/>
      <c r="E21" s="98"/>
      <c r="F21" s="99"/>
      <c r="G21" s="212"/>
      <c r="H21" s="464"/>
      <c r="I21" s="395"/>
      <c r="J21" s="99"/>
      <c r="K21" s="98"/>
      <c r="L21" s="141"/>
      <c r="M21" s="98"/>
      <c r="N21" s="141"/>
      <c r="O21" s="98"/>
      <c r="P21" s="99"/>
      <c r="Q21" s="99"/>
      <c r="R21" s="100"/>
      <c r="S21" s="98"/>
      <c r="T21" s="473">
        <v>42339</v>
      </c>
      <c r="U21" s="473">
        <v>42490</v>
      </c>
      <c r="V21" s="474">
        <f t="shared" si="1"/>
        <v>5</v>
      </c>
      <c r="W21" s="475">
        <v>3.96</v>
      </c>
      <c r="X21" s="475"/>
      <c r="Y21" s="476"/>
      <c r="Z21" s="477">
        <v>0.2</v>
      </c>
      <c r="AA21" s="478">
        <f t="shared" si="2"/>
        <v>4.7519999999999998</v>
      </c>
      <c r="AB21" s="479">
        <v>1150000</v>
      </c>
      <c r="AC21" s="479">
        <f t="shared" si="3"/>
        <v>27323999.999999996</v>
      </c>
      <c r="AD21" s="225"/>
      <c r="AE21" s="99"/>
      <c r="AF21" s="99"/>
      <c r="AG21" s="98"/>
      <c r="AH21" s="99"/>
      <c r="AI21" s="98"/>
      <c r="AJ21" s="113"/>
      <c r="AK21" s="441"/>
      <c r="AL21" s="103"/>
      <c r="AM21" s="103"/>
      <c r="AN21" s="102"/>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row>
    <row r="22" spans="1:255" s="509" customFormat="1" x14ac:dyDescent="0.25">
      <c r="A22" s="488"/>
      <c r="B22" s="510"/>
      <c r="C22" s="511"/>
      <c r="D22" s="512"/>
      <c r="E22" s="512"/>
      <c r="F22" s="513"/>
      <c r="G22" s="514"/>
      <c r="H22" s="522"/>
      <c r="I22" s="523"/>
      <c r="J22" s="513"/>
      <c r="K22" s="512"/>
      <c r="L22" s="516"/>
      <c r="M22" s="512"/>
      <c r="N22" s="516"/>
      <c r="O22" s="512"/>
      <c r="P22" s="513"/>
      <c r="Q22" s="513"/>
      <c r="R22" s="515"/>
      <c r="S22" s="512"/>
      <c r="T22" s="497">
        <v>42491</v>
      </c>
      <c r="U22" s="497">
        <v>42704</v>
      </c>
      <c r="V22" s="498">
        <f t="shared" si="1"/>
        <v>7</v>
      </c>
      <c r="W22" s="499">
        <v>3.96</v>
      </c>
      <c r="X22" s="499"/>
      <c r="Y22" s="500"/>
      <c r="Z22" s="501">
        <v>0.2</v>
      </c>
      <c r="AA22" s="502">
        <f t="shared" si="2"/>
        <v>4.7519999999999998</v>
      </c>
      <c r="AB22" s="503">
        <v>1210000</v>
      </c>
      <c r="AC22" s="503">
        <f t="shared" si="3"/>
        <v>40249439.999999993</v>
      </c>
      <c r="AD22" s="517"/>
      <c r="AE22" s="513"/>
      <c r="AF22" s="513"/>
      <c r="AG22" s="512"/>
      <c r="AH22" s="513"/>
      <c r="AI22" s="512"/>
      <c r="AJ22" s="518"/>
      <c r="AK22" s="519"/>
      <c r="AL22" s="520"/>
      <c r="AM22" s="520"/>
      <c r="AN22" s="521"/>
      <c r="AO22" s="508"/>
      <c r="AP22" s="508"/>
      <c r="AQ22" s="508"/>
      <c r="AR22" s="508"/>
      <c r="AS22" s="508"/>
      <c r="AT22" s="508"/>
      <c r="AU22" s="508"/>
      <c r="AV22" s="508"/>
      <c r="AW22" s="508"/>
      <c r="AX22" s="508"/>
      <c r="AY22" s="508"/>
      <c r="AZ22" s="508"/>
      <c r="BA22" s="508"/>
      <c r="BB22" s="508"/>
      <c r="BC22" s="508"/>
      <c r="BD22" s="508"/>
      <c r="BE22" s="508"/>
      <c r="BF22" s="508"/>
      <c r="BG22" s="508"/>
      <c r="BH22" s="508"/>
      <c r="BI22" s="508"/>
      <c r="BJ22" s="508"/>
      <c r="BK22" s="508"/>
      <c r="BL22" s="508"/>
      <c r="BM22" s="508"/>
      <c r="BN22" s="508"/>
      <c r="BO22" s="508"/>
      <c r="BP22" s="508"/>
      <c r="BQ22" s="508"/>
      <c r="BR22" s="508"/>
      <c r="BS22" s="508"/>
      <c r="BT22" s="508"/>
      <c r="BU22" s="508"/>
      <c r="BV22" s="508"/>
      <c r="BW22" s="508"/>
      <c r="BX22" s="508"/>
      <c r="BY22" s="508"/>
      <c r="BZ22" s="508"/>
      <c r="CA22" s="508"/>
      <c r="CB22" s="508"/>
      <c r="CC22" s="508"/>
      <c r="CD22" s="508"/>
      <c r="CE22" s="508"/>
      <c r="CF22" s="508"/>
      <c r="CG22" s="508"/>
      <c r="CH22" s="508"/>
      <c r="CI22" s="508"/>
      <c r="CJ22" s="508"/>
      <c r="CK22" s="508"/>
      <c r="CL22" s="508"/>
      <c r="CM22" s="508"/>
      <c r="CN22" s="508"/>
      <c r="CO22" s="508"/>
      <c r="CP22" s="508"/>
      <c r="CQ22" s="508"/>
      <c r="CR22" s="508"/>
      <c r="CS22" s="508"/>
      <c r="CT22" s="508"/>
      <c r="CU22" s="508"/>
      <c r="CV22" s="508"/>
      <c r="CW22" s="508"/>
      <c r="CX22" s="508"/>
      <c r="CY22" s="508"/>
      <c r="CZ22" s="508"/>
      <c r="DA22" s="508"/>
      <c r="DB22" s="508"/>
      <c r="DC22" s="508"/>
      <c r="DD22" s="508"/>
      <c r="DE22" s="508"/>
      <c r="DF22" s="508"/>
      <c r="DG22" s="508"/>
      <c r="DH22" s="508"/>
      <c r="DI22" s="508"/>
      <c r="DJ22" s="508"/>
      <c r="DK22" s="508"/>
      <c r="DL22" s="508"/>
      <c r="DM22" s="508"/>
      <c r="DN22" s="508"/>
      <c r="DO22" s="508"/>
      <c r="DP22" s="508"/>
      <c r="DQ22" s="508"/>
      <c r="DR22" s="508"/>
      <c r="DS22" s="508"/>
      <c r="DT22" s="508"/>
      <c r="DU22" s="508"/>
      <c r="DV22" s="508"/>
      <c r="DW22" s="508"/>
      <c r="DX22" s="508"/>
      <c r="DY22" s="508"/>
      <c r="DZ22" s="508"/>
      <c r="EA22" s="508"/>
      <c r="EB22" s="508"/>
      <c r="EC22" s="508"/>
      <c r="ED22" s="508"/>
      <c r="EE22" s="508"/>
      <c r="EF22" s="508"/>
      <c r="EG22" s="508"/>
      <c r="EH22" s="508"/>
      <c r="EI22" s="508"/>
      <c r="EJ22" s="508"/>
      <c r="EK22" s="508"/>
      <c r="EL22" s="508"/>
      <c r="EM22" s="508"/>
      <c r="EN22" s="508"/>
      <c r="EO22" s="508"/>
      <c r="EP22" s="508"/>
      <c r="EQ22" s="508"/>
      <c r="ER22" s="508"/>
      <c r="ES22" s="508"/>
      <c r="ET22" s="508"/>
      <c r="EU22" s="508"/>
      <c r="EV22" s="508"/>
      <c r="EW22" s="508"/>
      <c r="EX22" s="508"/>
      <c r="EY22" s="508"/>
      <c r="EZ22" s="508"/>
      <c r="FA22" s="508"/>
      <c r="FB22" s="508"/>
      <c r="FC22" s="508"/>
      <c r="FD22" s="508"/>
      <c r="FE22" s="508"/>
      <c r="FF22" s="508"/>
      <c r="FG22" s="508"/>
      <c r="FH22" s="508"/>
      <c r="FI22" s="508"/>
      <c r="FJ22" s="508"/>
      <c r="FK22" s="508"/>
      <c r="FL22" s="508"/>
      <c r="FM22" s="508"/>
      <c r="FN22" s="508"/>
      <c r="FO22" s="508"/>
      <c r="FP22" s="508"/>
      <c r="FQ22" s="508"/>
      <c r="FR22" s="508"/>
      <c r="FS22" s="508"/>
      <c r="FT22" s="508"/>
      <c r="FU22" s="508"/>
      <c r="FV22" s="508"/>
      <c r="FW22" s="508"/>
      <c r="FX22" s="508"/>
      <c r="FY22" s="508"/>
      <c r="FZ22" s="508"/>
      <c r="GA22" s="508"/>
      <c r="GB22" s="508"/>
      <c r="GC22" s="508"/>
      <c r="GD22" s="508"/>
      <c r="GE22" s="508"/>
      <c r="GF22" s="508"/>
      <c r="GG22" s="508"/>
      <c r="GH22" s="508"/>
      <c r="GI22" s="508"/>
      <c r="GJ22" s="508"/>
      <c r="GK22" s="508"/>
      <c r="GL22" s="508"/>
      <c r="GM22" s="508"/>
      <c r="GN22" s="508"/>
      <c r="GO22" s="508"/>
      <c r="GP22" s="508"/>
      <c r="GQ22" s="508"/>
      <c r="GR22" s="508"/>
      <c r="GS22" s="508"/>
      <c r="GT22" s="508"/>
      <c r="GU22" s="508"/>
      <c r="GV22" s="508"/>
      <c r="GW22" s="508"/>
      <c r="GX22" s="508"/>
      <c r="GY22" s="508"/>
      <c r="GZ22" s="508"/>
      <c r="HA22" s="508"/>
      <c r="HB22" s="508"/>
      <c r="HC22" s="508"/>
      <c r="HD22" s="508"/>
      <c r="HE22" s="508"/>
      <c r="HF22" s="508"/>
      <c r="HG22" s="508"/>
      <c r="HH22" s="508"/>
      <c r="HI22" s="508"/>
      <c r="HJ22" s="508"/>
      <c r="HK22" s="508"/>
      <c r="HL22" s="508"/>
      <c r="HM22" s="508"/>
      <c r="HN22" s="508"/>
      <c r="HO22" s="508"/>
      <c r="HP22" s="508"/>
      <c r="HQ22" s="508"/>
      <c r="HR22" s="508"/>
      <c r="HS22" s="508"/>
      <c r="HT22" s="508"/>
      <c r="HU22" s="508"/>
      <c r="HV22" s="508"/>
      <c r="HW22" s="508"/>
      <c r="HX22" s="508"/>
      <c r="HY22" s="508"/>
      <c r="HZ22" s="508"/>
      <c r="IA22" s="508"/>
      <c r="IB22" s="508"/>
      <c r="IC22" s="508"/>
      <c r="ID22" s="508"/>
      <c r="IE22" s="508"/>
      <c r="IF22" s="508"/>
      <c r="IG22" s="508"/>
      <c r="IH22" s="508"/>
      <c r="II22" s="508"/>
      <c r="IJ22" s="508"/>
      <c r="IK22" s="508"/>
      <c r="IL22" s="508"/>
      <c r="IM22" s="508"/>
      <c r="IN22" s="508"/>
      <c r="IO22" s="508"/>
      <c r="IP22" s="508"/>
      <c r="IQ22" s="508"/>
      <c r="IR22" s="508"/>
      <c r="IS22" s="508"/>
      <c r="IT22" s="508"/>
      <c r="IU22" s="508"/>
    </row>
    <row r="23" spans="1:255" s="422" customFormat="1" x14ac:dyDescent="0.25">
      <c r="A23" s="116"/>
      <c r="B23" s="79"/>
      <c r="C23" s="266"/>
      <c r="D23" s="81"/>
      <c r="E23" s="81"/>
      <c r="F23" s="423"/>
      <c r="G23" s="424"/>
      <c r="H23" s="425"/>
      <c r="I23" s="426"/>
      <c r="J23" s="427"/>
      <c r="K23" s="426"/>
      <c r="L23" s="427"/>
      <c r="M23" s="427"/>
      <c r="N23" s="428"/>
      <c r="O23" s="426"/>
      <c r="P23" s="427"/>
      <c r="Q23" s="427"/>
      <c r="R23" s="425"/>
      <c r="S23" s="426"/>
      <c r="T23" s="473">
        <v>42705</v>
      </c>
      <c r="U23" s="473">
        <v>42916</v>
      </c>
      <c r="V23" s="474">
        <f t="shared" si="1"/>
        <v>7</v>
      </c>
      <c r="W23" s="475">
        <v>3.96</v>
      </c>
      <c r="X23" s="475"/>
      <c r="Y23" s="476"/>
      <c r="Z23" s="477">
        <v>0.21</v>
      </c>
      <c r="AA23" s="478">
        <f t="shared" si="2"/>
        <v>4.7915999999999999</v>
      </c>
      <c r="AB23" s="479">
        <v>1210000</v>
      </c>
      <c r="AC23" s="479">
        <f t="shared" si="3"/>
        <v>40584851.999999993</v>
      </c>
      <c r="AD23" s="85"/>
      <c r="AE23" s="82"/>
      <c r="AF23" s="82"/>
      <c r="AG23" s="81"/>
      <c r="AH23" s="82"/>
      <c r="AI23" s="81"/>
      <c r="AJ23" s="86"/>
      <c r="AK23" s="194"/>
      <c r="AL23" s="87"/>
      <c r="AM23" s="85"/>
      <c r="AN23" s="87"/>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row>
    <row r="24" spans="1:255" s="509" customFormat="1" x14ac:dyDescent="0.25">
      <c r="A24" s="488"/>
      <c r="B24" s="489"/>
      <c r="C24" s="490"/>
      <c r="D24" s="491"/>
      <c r="E24" s="491"/>
      <c r="F24" s="492"/>
      <c r="G24" s="493"/>
      <c r="H24" s="494"/>
      <c r="I24" s="491"/>
      <c r="J24" s="495"/>
      <c r="K24" s="491"/>
      <c r="L24" s="495"/>
      <c r="M24" s="495"/>
      <c r="N24" s="496"/>
      <c r="O24" s="491"/>
      <c r="P24" s="495"/>
      <c r="Q24" s="495"/>
      <c r="R24" s="494"/>
      <c r="S24" s="491"/>
      <c r="T24" s="497">
        <v>42917</v>
      </c>
      <c r="U24" s="497">
        <v>43069</v>
      </c>
      <c r="V24" s="498">
        <f t="shared" si="1"/>
        <v>5</v>
      </c>
      <c r="W24" s="499">
        <v>3.96</v>
      </c>
      <c r="X24" s="499"/>
      <c r="Y24" s="500"/>
      <c r="Z24" s="501">
        <v>0.21</v>
      </c>
      <c r="AA24" s="502">
        <f t="shared" si="2"/>
        <v>4.7915999999999999</v>
      </c>
      <c r="AB24" s="503">
        <v>1300000</v>
      </c>
      <c r="AC24" s="503">
        <f t="shared" si="3"/>
        <v>31145399.999999996</v>
      </c>
      <c r="AD24" s="504"/>
      <c r="AE24" s="495"/>
      <c r="AF24" s="495"/>
      <c r="AG24" s="491"/>
      <c r="AH24" s="495"/>
      <c r="AI24" s="491"/>
      <c r="AJ24" s="505"/>
      <c r="AK24" s="506"/>
      <c r="AL24" s="507"/>
      <c r="AM24" s="504"/>
      <c r="AN24" s="507"/>
      <c r="AO24" s="508"/>
      <c r="AP24" s="508"/>
      <c r="AQ24" s="508"/>
      <c r="AR24" s="508"/>
      <c r="AS24" s="508"/>
      <c r="AT24" s="508"/>
      <c r="AU24" s="508"/>
      <c r="AV24" s="508"/>
      <c r="AW24" s="508"/>
      <c r="AX24" s="508"/>
      <c r="AY24" s="508"/>
      <c r="AZ24" s="508"/>
      <c r="BA24" s="508"/>
      <c r="BB24" s="508"/>
      <c r="BC24" s="508"/>
      <c r="BD24" s="508"/>
      <c r="BE24" s="508"/>
      <c r="BF24" s="508"/>
      <c r="BG24" s="508"/>
      <c r="BH24" s="508"/>
      <c r="BI24" s="508"/>
      <c r="BJ24" s="508"/>
      <c r="BK24" s="508"/>
      <c r="BL24" s="508"/>
      <c r="BM24" s="508"/>
      <c r="BN24" s="508"/>
      <c r="BO24" s="508"/>
      <c r="BP24" s="508"/>
      <c r="BQ24" s="508"/>
      <c r="BR24" s="508"/>
      <c r="BS24" s="508"/>
      <c r="BT24" s="508"/>
      <c r="BU24" s="508"/>
      <c r="BV24" s="508"/>
      <c r="BW24" s="508"/>
      <c r="BX24" s="508"/>
      <c r="BY24" s="508"/>
      <c r="BZ24" s="508"/>
      <c r="CA24" s="508"/>
      <c r="CB24" s="508"/>
      <c r="CC24" s="508"/>
      <c r="CD24" s="508"/>
      <c r="CE24" s="508"/>
      <c r="CF24" s="508"/>
      <c r="CG24" s="508"/>
      <c r="CH24" s="508"/>
      <c r="CI24" s="508"/>
      <c r="CJ24" s="508"/>
      <c r="CK24" s="508"/>
      <c r="CL24" s="508"/>
      <c r="CM24" s="508"/>
      <c r="CN24" s="508"/>
      <c r="CO24" s="508"/>
      <c r="CP24" s="508"/>
      <c r="CQ24" s="508"/>
      <c r="CR24" s="508"/>
      <c r="CS24" s="508"/>
      <c r="CT24" s="508"/>
      <c r="CU24" s="508"/>
      <c r="CV24" s="508"/>
      <c r="CW24" s="508"/>
      <c r="CX24" s="508"/>
      <c r="CY24" s="508"/>
      <c r="CZ24" s="508"/>
      <c r="DA24" s="508"/>
      <c r="DB24" s="508"/>
      <c r="DC24" s="508"/>
      <c r="DD24" s="508"/>
      <c r="DE24" s="508"/>
      <c r="DF24" s="508"/>
      <c r="DG24" s="508"/>
      <c r="DH24" s="508"/>
      <c r="DI24" s="508"/>
      <c r="DJ24" s="508"/>
      <c r="DK24" s="508"/>
      <c r="DL24" s="508"/>
      <c r="DM24" s="508"/>
      <c r="DN24" s="508"/>
      <c r="DO24" s="508"/>
      <c r="DP24" s="508"/>
      <c r="DQ24" s="508"/>
      <c r="DR24" s="508"/>
      <c r="DS24" s="508"/>
      <c r="DT24" s="508"/>
      <c r="DU24" s="508"/>
      <c r="DV24" s="508"/>
      <c r="DW24" s="508"/>
      <c r="DX24" s="508"/>
      <c r="DY24" s="508"/>
      <c r="DZ24" s="508"/>
      <c r="EA24" s="508"/>
      <c r="EB24" s="508"/>
      <c r="EC24" s="508"/>
      <c r="ED24" s="508"/>
      <c r="EE24" s="508"/>
      <c r="EF24" s="508"/>
      <c r="EG24" s="508"/>
      <c r="EH24" s="508"/>
      <c r="EI24" s="508"/>
      <c r="EJ24" s="508"/>
      <c r="EK24" s="508"/>
      <c r="EL24" s="508"/>
      <c r="EM24" s="508"/>
      <c r="EN24" s="508"/>
      <c r="EO24" s="508"/>
      <c r="EP24" s="508"/>
      <c r="EQ24" s="508"/>
      <c r="ER24" s="508"/>
      <c r="ES24" s="508"/>
      <c r="ET24" s="508"/>
      <c r="EU24" s="508"/>
      <c r="EV24" s="508"/>
      <c r="EW24" s="508"/>
      <c r="EX24" s="508"/>
      <c r="EY24" s="508"/>
      <c r="EZ24" s="508"/>
      <c r="FA24" s="508"/>
      <c r="FB24" s="508"/>
      <c r="FC24" s="508"/>
      <c r="FD24" s="508"/>
      <c r="FE24" s="508"/>
      <c r="FF24" s="508"/>
      <c r="FG24" s="508"/>
      <c r="FH24" s="508"/>
      <c r="FI24" s="508"/>
      <c r="FJ24" s="508"/>
      <c r="FK24" s="508"/>
      <c r="FL24" s="508"/>
      <c r="FM24" s="508"/>
      <c r="FN24" s="508"/>
      <c r="FO24" s="508"/>
      <c r="FP24" s="508"/>
      <c r="FQ24" s="508"/>
      <c r="FR24" s="508"/>
      <c r="FS24" s="508"/>
      <c r="FT24" s="508"/>
      <c r="FU24" s="508"/>
      <c r="FV24" s="508"/>
      <c r="FW24" s="508"/>
      <c r="FX24" s="508"/>
      <c r="FY24" s="508"/>
      <c r="FZ24" s="508"/>
      <c r="GA24" s="508"/>
      <c r="GB24" s="508"/>
      <c r="GC24" s="508"/>
      <c r="GD24" s="508"/>
      <c r="GE24" s="508"/>
      <c r="GF24" s="508"/>
      <c r="GG24" s="508"/>
      <c r="GH24" s="508"/>
      <c r="GI24" s="508"/>
      <c r="GJ24" s="508"/>
      <c r="GK24" s="508"/>
      <c r="GL24" s="508"/>
      <c r="GM24" s="508"/>
      <c r="GN24" s="508"/>
      <c r="GO24" s="508"/>
      <c r="GP24" s="508"/>
      <c r="GQ24" s="508"/>
      <c r="GR24" s="508"/>
      <c r="GS24" s="508"/>
      <c r="GT24" s="508"/>
      <c r="GU24" s="508"/>
      <c r="GV24" s="508"/>
      <c r="GW24" s="508"/>
      <c r="GX24" s="508"/>
      <c r="GY24" s="508"/>
      <c r="GZ24" s="508"/>
      <c r="HA24" s="508"/>
      <c r="HB24" s="508"/>
      <c r="HC24" s="508"/>
      <c r="HD24" s="508"/>
      <c r="HE24" s="508"/>
      <c r="HF24" s="508"/>
      <c r="HG24" s="508"/>
      <c r="HH24" s="508"/>
      <c r="HI24" s="508"/>
      <c r="HJ24" s="508"/>
      <c r="HK24" s="508"/>
      <c r="HL24" s="508"/>
      <c r="HM24" s="508"/>
      <c r="HN24" s="508"/>
      <c r="HO24" s="508"/>
      <c r="HP24" s="508"/>
      <c r="HQ24" s="508"/>
      <c r="HR24" s="508"/>
      <c r="HS24" s="508"/>
      <c r="HT24" s="508"/>
      <c r="HU24" s="508"/>
      <c r="HV24" s="508"/>
      <c r="HW24" s="508"/>
      <c r="HX24" s="508"/>
      <c r="HY24" s="508"/>
      <c r="HZ24" s="508"/>
      <c r="IA24" s="508"/>
      <c r="IB24" s="508"/>
      <c r="IC24" s="508"/>
      <c r="ID24" s="508"/>
      <c r="IE24" s="508"/>
      <c r="IF24" s="508"/>
      <c r="IG24" s="508"/>
      <c r="IH24" s="508"/>
      <c r="II24" s="508"/>
      <c r="IJ24" s="508"/>
      <c r="IK24" s="508"/>
      <c r="IL24" s="508"/>
      <c r="IM24" s="508"/>
      <c r="IN24" s="508"/>
      <c r="IO24" s="508"/>
      <c r="IP24" s="508"/>
      <c r="IQ24" s="508"/>
      <c r="IR24" s="508"/>
      <c r="IS24" s="508"/>
      <c r="IT24" s="508"/>
      <c r="IU24" s="508"/>
    </row>
    <row r="25" spans="1:255" s="422" customFormat="1" x14ac:dyDescent="0.25">
      <c r="A25" s="116"/>
      <c r="B25" s="79"/>
      <c r="C25" s="266"/>
      <c r="D25" s="81"/>
      <c r="E25" s="81"/>
      <c r="F25" s="423"/>
      <c r="G25" s="424"/>
      <c r="H25" s="425"/>
      <c r="I25" s="426"/>
      <c r="J25" s="427"/>
      <c r="K25" s="426"/>
      <c r="L25" s="427"/>
      <c r="M25" s="427"/>
      <c r="N25" s="428"/>
      <c r="O25" s="426"/>
      <c r="P25" s="427"/>
      <c r="Q25" s="427"/>
      <c r="R25" s="425"/>
      <c r="S25" s="426"/>
      <c r="T25" s="485">
        <v>43070</v>
      </c>
      <c r="U25" s="473">
        <v>43100</v>
      </c>
      <c r="V25" s="474">
        <f t="shared" si="1"/>
        <v>1</v>
      </c>
      <c r="W25" s="475">
        <v>3.96</v>
      </c>
      <c r="X25" s="475"/>
      <c r="Y25" s="476"/>
      <c r="Z25" s="477">
        <v>0.22</v>
      </c>
      <c r="AA25" s="478">
        <f t="shared" si="2"/>
        <v>4.8311999999999999</v>
      </c>
      <c r="AB25" s="479">
        <v>1300000</v>
      </c>
      <c r="AC25" s="479">
        <f t="shared" si="3"/>
        <v>6280560</v>
      </c>
      <c r="AD25" s="85"/>
      <c r="AE25" s="82"/>
      <c r="AF25" s="82"/>
      <c r="AG25" s="81"/>
      <c r="AH25" s="82"/>
      <c r="AI25" s="81"/>
      <c r="AJ25" s="86"/>
      <c r="AK25" s="194"/>
      <c r="AL25" s="87"/>
      <c r="AM25" s="85"/>
      <c r="AN25" s="87"/>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row>
    <row r="26" spans="1:255" s="422" customFormat="1" x14ac:dyDescent="0.25">
      <c r="A26" s="116"/>
      <c r="B26" s="79"/>
      <c r="C26" s="266"/>
      <c r="D26" s="81"/>
      <c r="E26" s="81"/>
      <c r="F26" s="423"/>
      <c r="G26" s="424"/>
      <c r="H26" s="425"/>
      <c r="I26" s="426"/>
      <c r="J26" s="427"/>
      <c r="K26" s="426"/>
      <c r="L26" s="427"/>
      <c r="M26" s="427"/>
      <c r="N26" s="428"/>
      <c r="O26" s="426"/>
      <c r="P26" s="427"/>
      <c r="Q26" s="427"/>
      <c r="R26" s="425"/>
      <c r="S26" s="487"/>
      <c r="T26" s="473">
        <v>43101</v>
      </c>
      <c r="U26" s="486">
        <v>43281</v>
      </c>
      <c r="V26" s="474">
        <f t="shared" si="1"/>
        <v>6</v>
      </c>
      <c r="W26" s="475">
        <v>4.2699999999999996</v>
      </c>
      <c r="X26" s="475"/>
      <c r="Y26" s="476"/>
      <c r="Z26" s="477">
        <v>0.22</v>
      </c>
      <c r="AA26" s="478">
        <f t="shared" si="2"/>
        <v>5.2093999999999996</v>
      </c>
      <c r="AB26" s="479">
        <v>1300000</v>
      </c>
      <c r="AC26" s="479">
        <f t="shared" si="3"/>
        <v>40633320</v>
      </c>
      <c r="AD26" s="85"/>
      <c r="AE26" s="82"/>
      <c r="AF26" s="82"/>
      <c r="AG26" s="81"/>
      <c r="AH26" s="82"/>
      <c r="AI26" s="81"/>
      <c r="AJ26" s="86"/>
      <c r="AK26" s="194"/>
      <c r="AL26" s="87"/>
      <c r="AM26" s="85"/>
      <c r="AN26" s="87"/>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row>
    <row r="27" spans="1:255" s="509" customFormat="1" x14ac:dyDescent="0.25">
      <c r="A27" s="488"/>
      <c r="B27" s="489"/>
      <c r="C27" s="490"/>
      <c r="D27" s="491"/>
      <c r="E27" s="491"/>
      <c r="F27" s="492"/>
      <c r="G27" s="493"/>
      <c r="H27" s="494"/>
      <c r="I27" s="491"/>
      <c r="J27" s="495"/>
      <c r="K27" s="491"/>
      <c r="L27" s="495"/>
      <c r="M27" s="495"/>
      <c r="N27" s="496"/>
      <c r="O27" s="491"/>
      <c r="P27" s="495"/>
      <c r="Q27" s="495"/>
      <c r="R27" s="494"/>
      <c r="S27" s="491"/>
      <c r="T27" s="524">
        <v>43282</v>
      </c>
      <c r="U27" s="497">
        <v>43404</v>
      </c>
      <c r="V27" s="498">
        <f t="shared" si="1"/>
        <v>4</v>
      </c>
      <c r="W27" s="499">
        <v>4.2699999999999996</v>
      </c>
      <c r="X27" s="499"/>
      <c r="Y27" s="500"/>
      <c r="Z27" s="501">
        <v>0.22</v>
      </c>
      <c r="AA27" s="502">
        <f t="shared" si="2"/>
        <v>5.2093999999999996</v>
      </c>
      <c r="AB27" s="503">
        <v>1390000</v>
      </c>
      <c r="AC27" s="503">
        <f t="shared" si="3"/>
        <v>28964263.999999996</v>
      </c>
      <c r="AD27" s="504"/>
      <c r="AE27" s="495"/>
      <c r="AF27" s="495"/>
      <c r="AG27" s="491"/>
      <c r="AH27" s="495"/>
      <c r="AI27" s="491"/>
      <c r="AJ27" s="505"/>
      <c r="AK27" s="506"/>
      <c r="AL27" s="507"/>
      <c r="AM27" s="504"/>
      <c r="AN27" s="507"/>
      <c r="AO27" s="508"/>
      <c r="AP27" s="508"/>
      <c r="AQ27" s="508"/>
      <c r="AR27" s="508"/>
      <c r="AS27" s="508"/>
      <c r="AT27" s="508"/>
      <c r="AU27" s="508"/>
      <c r="AV27" s="508"/>
      <c r="AW27" s="508"/>
      <c r="AX27" s="508"/>
      <c r="AY27" s="508"/>
      <c r="AZ27" s="508"/>
      <c r="BA27" s="508"/>
      <c r="BB27" s="508"/>
      <c r="BC27" s="508"/>
      <c r="BD27" s="508"/>
      <c r="BE27" s="508"/>
      <c r="BF27" s="508"/>
      <c r="BG27" s="508"/>
      <c r="BH27" s="508"/>
      <c r="BI27" s="508"/>
      <c r="BJ27" s="508"/>
      <c r="BK27" s="508"/>
      <c r="BL27" s="508"/>
      <c r="BM27" s="508"/>
      <c r="BN27" s="508"/>
      <c r="BO27" s="508"/>
      <c r="BP27" s="508"/>
      <c r="BQ27" s="508"/>
      <c r="BR27" s="508"/>
      <c r="BS27" s="508"/>
      <c r="BT27" s="508"/>
      <c r="BU27" s="508"/>
      <c r="BV27" s="508"/>
      <c r="BW27" s="508"/>
      <c r="BX27" s="508"/>
      <c r="BY27" s="508"/>
      <c r="BZ27" s="508"/>
      <c r="CA27" s="508"/>
      <c r="CB27" s="508"/>
      <c r="CC27" s="508"/>
      <c r="CD27" s="508"/>
      <c r="CE27" s="508"/>
      <c r="CF27" s="508"/>
      <c r="CG27" s="508"/>
      <c r="CH27" s="508"/>
      <c r="CI27" s="508"/>
      <c r="CJ27" s="508"/>
      <c r="CK27" s="508"/>
      <c r="CL27" s="508"/>
      <c r="CM27" s="508"/>
      <c r="CN27" s="508"/>
      <c r="CO27" s="508"/>
      <c r="CP27" s="508"/>
      <c r="CQ27" s="508"/>
      <c r="CR27" s="508"/>
      <c r="CS27" s="508"/>
      <c r="CT27" s="508"/>
      <c r="CU27" s="508"/>
      <c r="CV27" s="508"/>
      <c r="CW27" s="508"/>
      <c r="CX27" s="508"/>
      <c r="CY27" s="508"/>
      <c r="CZ27" s="508"/>
      <c r="DA27" s="508"/>
      <c r="DB27" s="508"/>
      <c r="DC27" s="508"/>
      <c r="DD27" s="508"/>
      <c r="DE27" s="508"/>
      <c r="DF27" s="508"/>
      <c r="DG27" s="508"/>
      <c r="DH27" s="508"/>
      <c r="DI27" s="508"/>
      <c r="DJ27" s="508"/>
      <c r="DK27" s="508"/>
      <c r="DL27" s="508"/>
      <c r="DM27" s="508"/>
      <c r="DN27" s="508"/>
      <c r="DO27" s="508"/>
      <c r="DP27" s="508"/>
      <c r="DQ27" s="508"/>
      <c r="DR27" s="508"/>
      <c r="DS27" s="508"/>
      <c r="DT27" s="508"/>
      <c r="DU27" s="508"/>
      <c r="DV27" s="508"/>
      <c r="DW27" s="508"/>
      <c r="DX27" s="508"/>
      <c r="DY27" s="508"/>
      <c r="DZ27" s="508"/>
      <c r="EA27" s="508"/>
      <c r="EB27" s="508"/>
      <c r="EC27" s="508"/>
      <c r="ED27" s="508"/>
      <c r="EE27" s="508"/>
      <c r="EF27" s="508"/>
      <c r="EG27" s="508"/>
      <c r="EH27" s="508"/>
      <c r="EI27" s="508"/>
      <c r="EJ27" s="508"/>
      <c r="EK27" s="508"/>
      <c r="EL27" s="508"/>
      <c r="EM27" s="508"/>
      <c r="EN27" s="508"/>
      <c r="EO27" s="508"/>
      <c r="EP27" s="508"/>
      <c r="EQ27" s="508"/>
      <c r="ER27" s="508"/>
      <c r="ES27" s="508"/>
      <c r="ET27" s="508"/>
      <c r="EU27" s="508"/>
      <c r="EV27" s="508"/>
      <c r="EW27" s="508"/>
      <c r="EX27" s="508"/>
      <c r="EY27" s="508"/>
      <c r="EZ27" s="508"/>
      <c r="FA27" s="508"/>
      <c r="FB27" s="508"/>
      <c r="FC27" s="508"/>
      <c r="FD27" s="508"/>
      <c r="FE27" s="508"/>
      <c r="FF27" s="508"/>
      <c r="FG27" s="508"/>
      <c r="FH27" s="508"/>
      <c r="FI27" s="508"/>
      <c r="FJ27" s="508"/>
      <c r="FK27" s="508"/>
      <c r="FL27" s="508"/>
      <c r="FM27" s="508"/>
      <c r="FN27" s="508"/>
      <c r="FO27" s="508"/>
      <c r="FP27" s="508"/>
      <c r="FQ27" s="508"/>
      <c r="FR27" s="508"/>
      <c r="FS27" s="508"/>
      <c r="FT27" s="508"/>
      <c r="FU27" s="508"/>
      <c r="FV27" s="508"/>
      <c r="FW27" s="508"/>
      <c r="FX27" s="508"/>
      <c r="FY27" s="508"/>
      <c r="FZ27" s="508"/>
      <c r="GA27" s="508"/>
      <c r="GB27" s="508"/>
      <c r="GC27" s="508"/>
      <c r="GD27" s="508"/>
      <c r="GE27" s="508"/>
      <c r="GF27" s="508"/>
      <c r="GG27" s="508"/>
      <c r="GH27" s="508"/>
      <c r="GI27" s="508"/>
      <c r="GJ27" s="508"/>
      <c r="GK27" s="508"/>
      <c r="GL27" s="508"/>
      <c r="GM27" s="508"/>
      <c r="GN27" s="508"/>
      <c r="GO27" s="508"/>
      <c r="GP27" s="508"/>
      <c r="GQ27" s="508"/>
      <c r="GR27" s="508"/>
      <c r="GS27" s="508"/>
      <c r="GT27" s="508"/>
      <c r="GU27" s="508"/>
      <c r="GV27" s="508"/>
      <c r="GW27" s="508"/>
      <c r="GX27" s="508"/>
      <c r="GY27" s="508"/>
      <c r="GZ27" s="508"/>
      <c r="HA27" s="508"/>
      <c r="HB27" s="508"/>
      <c r="HC27" s="508"/>
      <c r="HD27" s="508"/>
      <c r="HE27" s="508"/>
      <c r="HF27" s="508"/>
      <c r="HG27" s="508"/>
      <c r="HH27" s="508"/>
      <c r="HI27" s="508"/>
      <c r="HJ27" s="508"/>
      <c r="HK27" s="508"/>
      <c r="HL27" s="508"/>
      <c r="HM27" s="508"/>
      <c r="HN27" s="508"/>
      <c r="HO27" s="508"/>
      <c r="HP27" s="508"/>
      <c r="HQ27" s="508"/>
      <c r="HR27" s="508"/>
      <c r="HS27" s="508"/>
      <c r="HT27" s="508"/>
      <c r="HU27" s="508"/>
      <c r="HV27" s="508"/>
      <c r="HW27" s="508"/>
      <c r="HX27" s="508"/>
      <c r="HY27" s="508"/>
      <c r="HZ27" s="508"/>
      <c r="IA27" s="508"/>
      <c r="IB27" s="508"/>
      <c r="IC27" s="508"/>
      <c r="ID27" s="508"/>
      <c r="IE27" s="508"/>
      <c r="IF27" s="508"/>
      <c r="IG27" s="508"/>
      <c r="IH27" s="508"/>
      <c r="II27" s="508"/>
      <c r="IJ27" s="508"/>
      <c r="IK27" s="508"/>
      <c r="IL27" s="508"/>
      <c r="IM27" s="508"/>
      <c r="IN27" s="508"/>
      <c r="IO27" s="508"/>
      <c r="IP27" s="508"/>
      <c r="IQ27" s="508"/>
      <c r="IR27" s="508"/>
      <c r="IS27" s="508"/>
      <c r="IT27" s="508"/>
      <c r="IU27" s="508"/>
    </row>
    <row r="28" spans="1:255" s="422" customFormat="1" x14ac:dyDescent="0.25">
      <c r="A28" s="116"/>
      <c r="B28" s="429"/>
      <c r="C28" s="430"/>
      <c r="D28" s="431"/>
      <c r="E28" s="431"/>
      <c r="F28" s="432"/>
      <c r="G28" s="433"/>
      <c r="H28" s="432"/>
      <c r="I28" s="432"/>
      <c r="J28" s="432"/>
      <c r="K28" s="432"/>
      <c r="L28" s="432"/>
      <c r="M28" s="432"/>
      <c r="N28" s="432"/>
      <c r="O28" s="432"/>
      <c r="P28" s="432"/>
      <c r="Q28" s="432"/>
      <c r="R28" s="432"/>
      <c r="S28" s="432"/>
      <c r="T28" s="480"/>
      <c r="U28" s="480"/>
      <c r="V28" s="481" t="e">
        <f>SUM(V17:V27)</f>
        <v>#VALUE!</v>
      </c>
      <c r="W28" s="482"/>
      <c r="X28" s="480"/>
      <c r="Y28" s="480"/>
      <c r="Z28" s="480"/>
      <c r="AA28" s="482"/>
      <c r="AB28" s="483"/>
      <c r="AC28" s="483" t="e">
        <f>SUM(AC17:AC27)</f>
        <v>#VALUE!</v>
      </c>
      <c r="AD28" s="431"/>
      <c r="AE28" s="431"/>
      <c r="AF28" s="431"/>
      <c r="AG28" s="431"/>
      <c r="AH28" s="431"/>
      <c r="AI28" s="431"/>
      <c r="AJ28" s="431"/>
      <c r="AK28" s="230"/>
      <c r="AL28" s="431"/>
      <c r="AM28" s="431"/>
      <c r="AN28" s="434"/>
    </row>
    <row r="29" spans="1:255" s="422" customFormat="1" ht="16.5" customHeight="1" x14ac:dyDescent="0.25">
      <c r="A29" s="116" t="s">
        <v>402</v>
      </c>
      <c r="B29" s="140">
        <v>2</v>
      </c>
      <c r="C29" s="365" t="s">
        <v>704</v>
      </c>
      <c r="D29" s="139">
        <v>25898</v>
      </c>
      <c r="E29" s="98">
        <v>25903</v>
      </c>
      <c r="F29" s="140"/>
      <c r="G29" s="213" t="s">
        <v>705</v>
      </c>
      <c r="H29" s="461" t="s">
        <v>696</v>
      </c>
      <c r="I29" s="455">
        <v>44652</v>
      </c>
      <c r="J29" s="456"/>
      <c r="K29" s="458"/>
      <c r="L29" s="457" t="s">
        <v>430</v>
      </c>
      <c r="M29" s="458" t="s">
        <v>662</v>
      </c>
      <c r="N29" s="457" t="s">
        <v>393</v>
      </c>
      <c r="O29" s="455" t="s">
        <v>707</v>
      </c>
      <c r="P29" s="460"/>
      <c r="Q29" s="460"/>
      <c r="R29" s="461">
        <v>4.9800000000000004</v>
      </c>
      <c r="S29" s="459">
        <v>42826</v>
      </c>
      <c r="T29" s="472">
        <f>EDATE(AG29,-67)</f>
        <v>42948</v>
      </c>
      <c r="U29" s="473" t="s">
        <v>672</v>
      </c>
      <c r="V29" s="474" t="e">
        <f t="shared" ref="V29:V37" si="4">ROUND(DAYS360(T29,U29,0)/30,0)</f>
        <v>#VALUE!</v>
      </c>
      <c r="W29" s="475">
        <v>4.9800000000000004</v>
      </c>
      <c r="X29" s="475"/>
      <c r="Y29" s="476"/>
      <c r="Z29" s="477">
        <v>0.24</v>
      </c>
      <c r="AA29" s="478">
        <f t="shared" ref="AA29:AA37" si="5">W29+X29+Y29*W29+(W29+X29+Y29*W29)*Z29</f>
        <v>6.1752000000000002</v>
      </c>
      <c r="AB29" s="479">
        <v>1300000</v>
      </c>
      <c r="AC29" s="479" t="e">
        <f t="shared" ref="AC29:AC37" si="6">V29*AA29*AB29</f>
        <v>#VALUE!</v>
      </c>
      <c r="AD29" s="227" t="e">
        <f>AC38/V38</f>
        <v>#VALUE!</v>
      </c>
      <c r="AE29" s="529" t="s">
        <v>715</v>
      </c>
      <c r="AF29" s="140"/>
      <c r="AG29" s="139">
        <v>44986</v>
      </c>
      <c r="AH29" s="140" t="str">
        <f>DATEDIF(E29,AG29,"y")&amp;"t"&amp;DATEDIF(E29,AG29,"ym")&amp;"th"</f>
        <v>52t3th</v>
      </c>
      <c r="AI29" s="98" t="s">
        <v>524</v>
      </c>
      <c r="AJ29" s="113" t="str">
        <f>QUOTIENT((VALUE(LEFT(AI29,2))*12+VALUE(MID(AI29,4,LEN(AI29)-5))-(VALUE(LEFT(AH29,2))*12+VALUE(MID(AH29,4,LEN(AH29)-5)))),12)&amp;"n"&amp;MOD(VALUE(LEFT(AI29,2))*12+VALUE(MID(AI29,4,LEN(AI29)-5))-(VALUE(LEFT(AH29,2))*12+VALUE(MID(AH29,4,LEN(AH29)-5))),12)&amp;"t"</f>
        <v>3n9t</v>
      </c>
      <c r="AK29" s="385" t="e">
        <f>SUM(AL29:AN29)</f>
        <v>#VALUE!</v>
      </c>
      <c r="AL29" s="163" t="e">
        <f>ROUND(IF(LEN(AJ29)&lt;3,VALUE(LEFT(AJ29,1))*3*AD29,(VALUE(LEFT(AJ29,1))*3+IF(VALUE(MID(AJ29,3,LEN(AJ29)-3))&gt;6,2,IF(VALUE(MID(AJ29,3,LEN(AJ29)-3))&gt;0,1,0)))*AD29),0)</f>
        <v>#VALUE!</v>
      </c>
      <c r="AM29" s="163" t="e">
        <f>ROUND(5*AD29,0)</f>
        <v>#VALUE!</v>
      </c>
      <c r="AN29" s="164" t="e">
        <f>ROUND(((VALUE(LEFT(AE29,2)-20))+IF(LEN(AE29)&lt;4,0,IF(VALUE(MID(AE29,4,LEN(AE29)-4))&gt;6,1,IF(VALUE(MID(AE29,4,LEN(AE29)-4))&gt;2,0.5,0))))*AD29*1/2,0)</f>
        <v>#VALUE!</v>
      </c>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row>
    <row r="30" spans="1:255" s="422" customFormat="1" ht="16.5" customHeight="1" x14ac:dyDescent="0.25">
      <c r="A30" s="116"/>
      <c r="B30" s="96"/>
      <c r="C30" s="439"/>
      <c r="D30" s="98"/>
      <c r="E30" s="98"/>
      <c r="F30" s="440"/>
      <c r="G30" s="212"/>
      <c r="H30" s="100"/>
      <c r="I30" s="98"/>
      <c r="J30" s="99"/>
      <c r="K30" s="98"/>
      <c r="L30" s="141"/>
      <c r="M30" s="98"/>
      <c r="N30" s="141"/>
      <c r="O30" s="98"/>
      <c r="P30" s="99"/>
      <c r="Q30" s="99"/>
      <c r="R30" s="100"/>
      <c r="S30" s="98"/>
      <c r="T30" s="472" t="s">
        <v>673</v>
      </c>
      <c r="U30" s="473" t="s">
        <v>668</v>
      </c>
      <c r="V30" s="474" t="e">
        <f t="shared" si="4"/>
        <v>#VALUE!</v>
      </c>
      <c r="W30" s="475">
        <v>4.9800000000000004</v>
      </c>
      <c r="X30" s="475"/>
      <c r="Y30" s="476"/>
      <c r="Z30" s="477">
        <v>0.25</v>
      </c>
      <c r="AA30" s="478">
        <f t="shared" si="5"/>
        <v>6.2250000000000005</v>
      </c>
      <c r="AB30" s="479">
        <v>1300000</v>
      </c>
      <c r="AC30" s="479" t="e">
        <f t="shared" si="6"/>
        <v>#VALUE!</v>
      </c>
      <c r="AD30" s="225"/>
      <c r="AE30" s="418"/>
      <c r="AF30" s="99"/>
      <c r="AG30" s="98"/>
      <c r="AH30" s="99"/>
      <c r="AI30" s="98"/>
      <c r="AJ30" s="113"/>
      <c r="AK30" s="441"/>
      <c r="AL30" s="103"/>
      <c r="AM30" s="103"/>
      <c r="AN30" s="102"/>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row>
    <row r="31" spans="1:255" s="422" customFormat="1" ht="16.5" customHeight="1" x14ac:dyDescent="0.25">
      <c r="A31" s="116"/>
      <c r="B31" s="96"/>
      <c r="C31" s="439"/>
      <c r="D31" s="98"/>
      <c r="E31" s="98"/>
      <c r="F31" s="440"/>
      <c r="G31" s="212"/>
      <c r="H31" s="100"/>
      <c r="I31" s="98"/>
      <c r="J31" s="99"/>
      <c r="K31" s="98"/>
      <c r="L31" s="141"/>
      <c r="M31" s="98"/>
      <c r="N31" s="141"/>
      <c r="O31" s="98"/>
      <c r="P31" s="99"/>
      <c r="Q31" s="99"/>
      <c r="R31" s="100"/>
      <c r="S31" s="98"/>
      <c r="T31" s="472" t="s">
        <v>669</v>
      </c>
      <c r="U31" s="473" t="s">
        <v>674</v>
      </c>
      <c r="V31" s="474" t="e">
        <f t="shared" si="4"/>
        <v>#VALUE!</v>
      </c>
      <c r="W31" s="475">
        <v>4.9800000000000004</v>
      </c>
      <c r="X31" s="475"/>
      <c r="Y31" s="476"/>
      <c r="Z31" s="477">
        <v>0.25</v>
      </c>
      <c r="AA31" s="478">
        <f t="shared" si="5"/>
        <v>6.2250000000000005</v>
      </c>
      <c r="AB31" s="479">
        <v>1390000</v>
      </c>
      <c r="AC31" s="479" t="e">
        <f t="shared" si="6"/>
        <v>#VALUE!</v>
      </c>
      <c r="AD31" s="225"/>
      <c r="AE31" s="418"/>
      <c r="AF31" s="99"/>
      <c r="AG31" s="98"/>
      <c r="AH31" s="99"/>
      <c r="AI31" s="98"/>
      <c r="AJ31" s="113"/>
      <c r="AK31" s="441"/>
      <c r="AL31" s="103"/>
      <c r="AM31" s="103"/>
      <c r="AN31" s="102"/>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row>
    <row r="32" spans="1:255" s="422" customFormat="1" ht="16.5" customHeight="1" x14ac:dyDescent="0.25">
      <c r="A32" s="116"/>
      <c r="B32" s="96"/>
      <c r="C32" s="439"/>
      <c r="D32" s="98"/>
      <c r="E32" s="98"/>
      <c r="F32" s="440"/>
      <c r="G32" s="212"/>
      <c r="H32" s="100"/>
      <c r="I32" s="98"/>
      <c r="J32" s="99"/>
      <c r="K32" s="98"/>
      <c r="L32" s="141"/>
      <c r="M32" s="98"/>
      <c r="N32" s="141"/>
      <c r="O32" s="98"/>
      <c r="P32" s="99"/>
      <c r="Q32" s="99"/>
      <c r="R32" s="100"/>
      <c r="S32" s="98"/>
      <c r="T32" s="472" t="s">
        <v>675</v>
      </c>
      <c r="U32" s="473" t="s">
        <v>670</v>
      </c>
      <c r="V32" s="474" t="e">
        <f t="shared" si="4"/>
        <v>#VALUE!</v>
      </c>
      <c r="W32" s="475">
        <v>4.9800000000000004</v>
      </c>
      <c r="X32" s="475"/>
      <c r="Y32" s="476"/>
      <c r="Z32" s="477">
        <v>0.26</v>
      </c>
      <c r="AA32" s="478">
        <f t="shared" si="5"/>
        <v>6.2748000000000008</v>
      </c>
      <c r="AB32" s="479">
        <v>1390000</v>
      </c>
      <c r="AC32" s="479" t="e">
        <f t="shared" si="6"/>
        <v>#VALUE!</v>
      </c>
      <c r="AD32" s="225"/>
      <c r="AE32" s="418"/>
      <c r="AF32" s="99"/>
      <c r="AG32" s="98"/>
      <c r="AH32" s="99"/>
      <c r="AI32" s="98"/>
      <c r="AJ32" s="113"/>
      <c r="AK32" s="441"/>
      <c r="AL32" s="103"/>
      <c r="AM32" s="103"/>
      <c r="AN32" s="10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row>
    <row r="33" spans="1:255" s="422" customFormat="1" ht="16.5" customHeight="1" x14ac:dyDescent="0.25">
      <c r="A33" s="116"/>
      <c r="B33" s="96"/>
      <c r="C33" s="439"/>
      <c r="D33" s="98"/>
      <c r="E33" s="98"/>
      <c r="F33" s="440"/>
      <c r="G33" s="212"/>
      <c r="H33" s="100"/>
      <c r="I33" s="98"/>
      <c r="J33" s="99"/>
      <c r="K33" s="98"/>
      <c r="L33" s="141"/>
      <c r="M33" s="98"/>
      <c r="N33" s="141"/>
      <c r="O33" s="98"/>
      <c r="P33" s="99"/>
      <c r="Q33" s="99"/>
      <c r="R33" s="100"/>
      <c r="S33" s="98"/>
      <c r="T33" s="472" t="s">
        <v>671</v>
      </c>
      <c r="U33" s="473" t="s">
        <v>676</v>
      </c>
      <c r="V33" s="474" t="e">
        <f t="shared" si="4"/>
        <v>#VALUE!</v>
      </c>
      <c r="W33" s="475">
        <v>4.9800000000000004</v>
      </c>
      <c r="X33" s="475"/>
      <c r="Y33" s="476"/>
      <c r="Z33" s="477">
        <v>0.26</v>
      </c>
      <c r="AA33" s="478">
        <f t="shared" si="5"/>
        <v>6.2748000000000008</v>
      </c>
      <c r="AB33" s="479">
        <v>1490000</v>
      </c>
      <c r="AC33" s="479" t="e">
        <f t="shared" si="6"/>
        <v>#VALUE!</v>
      </c>
      <c r="AD33" s="225"/>
      <c r="AE33" s="418"/>
      <c r="AF33" s="99"/>
      <c r="AG33" s="98"/>
      <c r="AH33" s="99"/>
      <c r="AI33" s="98"/>
      <c r="AJ33" s="113"/>
      <c r="AK33" s="441"/>
      <c r="AL33" s="103"/>
      <c r="AM33" s="103"/>
      <c r="AN33" s="102"/>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row>
    <row r="34" spans="1:255" s="422" customFormat="1" ht="16.5" customHeight="1" x14ac:dyDescent="0.25">
      <c r="A34" s="116"/>
      <c r="B34" s="96"/>
      <c r="C34" s="439"/>
      <c r="D34" s="98"/>
      <c r="E34" s="98"/>
      <c r="F34" s="440"/>
      <c r="G34" s="212"/>
      <c r="H34" s="100"/>
      <c r="I34" s="98"/>
      <c r="J34" s="99"/>
      <c r="K34" s="98"/>
      <c r="L34" s="141"/>
      <c r="M34" s="98"/>
      <c r="N34" s="141"/>
      <c r="O34" s="98"/>
      <c r="P34" s="99"/>
      <c r="Q34" s="99"/>
      <c r="R34" s="100"/>
      <c r="S34" s="98"/>
      <c r="T34" s="472" t="s">
        <v>677</v>
      </c>
      <c r="U34" s="473" t="s">
        <v>678</v>
      </c>
      <c r="V34" s="474" t="e">
        <f t="shared" si="4"/>
        <v>#VALUE!</v>
      </c>
      <c r="W34" s="475">
        <v>4.9800000000000004</v>
      </c>
      <c r="X34" s="475"/>
      <c r="Y34" s="525">
        <v>0.05</v>
      </c>
      <c r="Z34" s="526">
        <v>0.27</v>
      </c>
      <c r="AA34" s="527">
        <f t="shared" si="5"/>
        <v>6.6408300000000002</v>
      </c>
      <c r="AB34" s="528">
        <v>1490000</v>
      </c>
      <c r="AC34" s="528" t="e">
        <f t="shared" si="6"/>
        <v>#VALUE!</v>
      </c>
      <c r="AD34" s="225"/>
      <c r="AE34" s="418"/>
      <c r="AF34" s="99"/>
      <c r="AG34" s="98"/>
      <c r="AH34" s="99"/>
      <c r="AI34" s="98"/>
      <c r="AJ34" s="113"/>
      <c r="AK34" s="441"/>
      <c r="AL34" s="103"/>
      <c r="AM34" s="103"/>
      <c r="AN34" s="102"/>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row>
    <row r="35" spans="1:255" s="422" customFormat="1" ht="16.5" customHeight="1" x14ac:dyDescent="0.25">
      <c r="A35" s="116"/>
      <c r="B35" s="96"/>
      <c r="C35" s="439"/>
      <c r="D35" s="98"/>
      <c r="E35" s="98"/>
      <c r="F35" s="440"/>
      <c r="G35" s="212"/>
      <c r="H35" s="100"/>
      <c r="I35" s="98"/>
      <c r="J35" s="99"/>
      <c r="K35" s="98"/>
      <c r="L35" s="141"/>
      <c r="M35" s="98"/>
      <c r="N35" s="141"/>
      <c r="O35" s="98"/>
      <c r="P35" s="99"/>
      <c r="Q35" s="99"/>
      <c r="R35" s="100"/>
      <c r="S35" s="98"/>
      <c r="T35" s="472" t="s">
        <v>679</v>
      </c>
      <c r="U35" s="473" t="s">
        <v>680</v>
      </c>
      <c r="V35" s="474" t="e">
        <f t="shared" si="4"/>
        <v>#VALUE!</v>
      </c>
      <c r="W35" s="475">
        <v>4.9800000000000004</v>
      </c>
      <c r="X35" s="475"/>
      <c r="Y35" s="525">
        <v>0.06</v>
      </c>
      <c r="Z35" s="526">
        <v>0.28000000000000003</v>
      </c>
      <c r="AA35" s="527">
        <f t="shared" si="5"/>
        <v>6.7568640000000002</v>
      </c>
      <c r="AB35" s="528">
        <v>1490000</v>
      </c>
      <c r="AC35" s="528" t="e">
        <f t="shared" si="6"/>
        <v>#VALUE!</v>
      </c>
      <c r="AD35" s="225"/>
      <c r="AE35" s="418"/>
      <c r="AF35" s="99"/>
      <c r="AG35" s="98"/>
      <c r="AH35" s="99"/>
      <c r="AI35" s="98"/>
      <c r="AJ35" s="113"/>
      <c r="AK35" s="441"/>
      <c r="AL35" s="103"/>
      <c r="AM35" s="103"/>
      <c r="AN35" s="102"/>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row>
    <row r="36" spans="1:255" s="422" customFormat="1" ht="16.5" customHeight="1" x14ac:dyDescent="0.25">
      <c r="A36" s="116"/>
      <c r="B36" s="96"/>
      <c r="C36" s="439"/>
      <c r="D36" s="98"/>
      <c r="E36" s="98"/>
      <c r="F36" s="440"/>
      <c r="G36" s="212"/>
      <c r="H36" s="100"/>
      <c r="I36" s="98"/>
      <c r="J36" s="99"/>
      <c r="K36" s="98"/>
      <c r="L36" s="141"/>
      <c r="M36" s="98"/>
      <c r="N36" s="141"/>
      <c r="O36" s="98"/>
      <c r="P36" s="99"/>
      <c r="Q36" s="99"/>
      <c r="R36" s="100"/>
      <c r="S36" s="98"/>
      <c r="T36" s="472" t="s">
        <v>681</v>
      </c>
      <c r="U36" s="473">
        <v>44742</v>
      </c>
      <c r="V36" s="474">
        <f t="shared" ref="V36" si="7">ROUND(DAYS360(T36,U36,0)/30,0)</f>
        <v>6</v>
      </c>
      <c r="W36" s="475">
        <v>4.9800000000000004</v>
      </c>
      <c r="X36" s="475"/>
      <c r="Y36" s="476">
        <v>7.0000000000000007E-2</v>
      </c>
      <c r="Z36" s="477">
        <v>0.28999999999999998</v>
      </c>
      <c r="AA36" s="478">
        <f t="shared" ref="AA36" si="8">W36+X36+Y36*W36+(W36+X36+Y36*W36)*Z36</f>
        <v>6.8738940000000008</v>
      </c>
      <c r="AB36" s="479">
        <v>1490000</v>
      </c>
      <c r="AC36" s="479">
        <f t="shared" ref="AC36" si="9">V36*AA36*AB36</f>
        <v>61452612.360000007</v>
      </c>
      <c r="AD36" s="225"/>
      <c r="AE36" s="418"/>
      <c r="AF36" s="99"/>
      <c r="AG36" s="98"/>
      <c r="AH36" s="99"/>
      <c r="AI36" s="98"/>
      <c r="AJ36" s="113"/>
      <c r="AK36" s="441"/>
      <c r="AL36" s="103"/>
      <c r="AM36" s="103"/>
      <c r="AN36" s="102"/>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row>
    <row r="37" spans="1:255" s="422" customFormat="1" ht="16.5" customHeight="1" x14ac:dyDescent="0.25">
      <c r="A37" s="116"/>
      <c r="B37" s="96"/>
      <c r="C37" s="439"/>
      <c r="D37" s="98"/>
      <c r="E37" s="98"/>
      <c r="F37" s="440"/>
      <c r="G37" s="212"/>
      <c r="H37" s="100"/>
      <c r="I37" s="98"/>
      <c r="J37" s="99"/>
      <c r="K37" s="98"/>
      <c r="L37" s="141"/>
      <c r="M37" s="98"/>
      <c r="N37" s="141"/>
      <c r="O37" s="98"/>
      <c r="P37" s="99"/>
      <c r="Q37" s="99"/>
      <c r="R37" s="100"/>
      <c r="S37" s="98"/>
      <c r="T37" s="472">
        <v>44896</v>
      </c>
      <c r="U37" s="473">
        <v>44925</v>
      </c>
      <c r="V37" s="474">
        <f t="shared" si="4"/>
        <v>1</v>
      </c>
      <c r="W37" s="475">
        <v>4.9800000000000004</v>
      </c>
      <c r="X37" s="475"/>
      <c r="Y37" s="476">
        <v>7.0000000000000007E-2</v>
      </c>
      <c r="Z37" s="477">
        <v>0.28999999999999998</v>
      </c>
      <c r="AA37" s="478">
        <f t="shared" si="5"/>
        <v>6.8738940000000008</v>
      </c>
      <c r="AB37" s="479">
        <v>1490000</v>
      </c>
      <c r="AC37" s="479">
        <f t="shared" si="6"/>
        <v>10242102.060000001</v>
      </c>
      <c r="AD37" s="225"/>
      <c r="AE37" s="418"/>
      <c r="AF37" s="99"/>
      <c r="AG37" s="98"/>
      <c r="AH37" s="99"/>
      <c r="AI37" s="98"/>
      <c r="AJ37" s="113"/>
      <c r="AK37" s="441"/>
      <c r="AL37" s="103"/>
      <c r="AM37" s="103"/>
      <c r="AN37" s="102"/>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row>
    <row r="38" spans="1:255" s="422" customFormat="1" ht="16.5" customHeight="1" x14ac:dyDescent="0.25">
      <c r="A38" s="116"/>
      <c r="B38" s="429"/>
      <c r="C38" s="430"/>
      <c r="D38" s="431"/>
      <c r="E38" s="431"/>
      <c r="F38" s="432"/>
      <c r="G38" s="433"/>
      <c r="H38" s="432"/>
      <c r="I38" s="432"/>
      <c r="J38" s="432"/>
      <c r="K38" s="432"/>
      <c r="L38" s="432"/>
      <c r="M38" s="432"/>
      <c r="N38" s="432"/>
      <c r="O38" s="432"/>
      <c r="P38" s="432"/>
      <c r="Q38" s="432"/>
      <c r="R38" s="432"/>
      <c r="S38" s="432"/>
      <c r="T38" s="480"/>
      <c r="U38" s="480"/>
      <c r="V38" s="481" t="e">
        <f>SUM(V29:V37)</f>
        <v>#VALUE!</v>
      </c>
      <c r="W38" s="482"/>
      <c r="X38" s="480"/>
      <c r="Y38" s="480"/>
      <c r="Z38" s="480"/>
      <c r="AA38" s="482"/>
      <c r="AB38" s="483"/>
      <c r="AC38" s="483" t="e">
        <f>SUM(AC29:AC37)</f>
        <v>#VALUE!</v>
      </c>
      <c r="AD38" s="431"/>
      <c r="AE38" s="530"/>
      <c r="AF38" s="431"/>
      <c r="AG38" s="431"/>
      <c r="AH38" s="431"/>
      <c r="AI38" s="431"/>
      <c r="AJ38" s="431"/>
      <c r="AK38" s="230"/>
      <c r="AL38" s="431"/>
      <c r="AM38" s="431"/>
      <c r="AN38" s="434"/>
    </row>
    <row r="39" spans="1:255" s="422" customFormat="1" ht="25.5" customHeight="1" x14ac:dyDescent="0.25">
      <c r="A39" s="116" t="s">
        <v>723</v>
      </c>
      <c r="B39" s="140">
        <v>1</v>
      </c>
      <c r="C39" s="365" t="s">
        <v>717</v>
      </c>
      <c r="D39" s="139">
        <v>24374</v>
      </c>
      <c r="E39" s="98">
        <v>24381</v>
      </c>
      <c r="F39" s="140"/>
      <c r="G39" s="213" t="s">
        <v>718</v>
      </c>
      <c r="H39" s="461">
        <v>4.6500000000000004</v>
      </c>
      <c r="I39" s="455">
        <v>44927</v>
      </c>
      <c r="J39" s="456">
        <v>0.2</v>
      </c>
      <c r="K39" s="458" t="s">
        <v>722</v>
      </c>
      <c r="L39" s="457"/>
      <c r="M39" s="458"/>
      <c r="N39" s="457"/>
      <c r="O39" s="455"/>
      <c r="P39" s="460"/>
      <c r="Q39" s="460"/>
      <c r="R39" s="461" t="s">
        <v>530</v>
      </c>
      <c r="S39" s="459" t="s">
        <v>724</v>
      </c>
      <c r="T39" s="472">
        <f>EDATE(AG39,-60)</f>
        <v>43160</v>
      </c>
      <c r="U39" s="473" t="s">
        <v>668</v>
      </c>
      <c r="V39" s="474" t="e">
        <f t="shared" ref="V39:V42" si="10">ROUND(DAYS360(T39,U39,0)/30,0)</f>
        <v>#VALUE!</v>
      </c>
      <c r="W39" s="475">
        <v>3.99</v>
      </c>
      <c r="X39" s="475">
        <v>0.2</v>
      </c>
      <c r="Y39" s="476"/>
      <c r="Z39" s="477"/>
      <c r="AA39" s="478">
        <f t="shared" ref="AA39:AA42" si="11">W39+X39+Y39*W39+(W39+X39+Y39*W39)*Z39</f>
        <v>4.1900000000000004</v>
      </c>
      <c r="AB39" s="479">
        <v>1300000</v>
      </c>
      <c r="AC39" s="479" t="e">
        <f t="shared" ref="AC39:AC42" si="12">V39*AA39*AB39</f>
        <v>#VALUE!</v>
      </c>
      <c r="AD39" s="227" t="e">
        <f>AC43/V43</f>
        <v>#VALUE!</v>
      </c>
      <c r="AE39" s="529" t="s">
        <v>708</v>
      </c>
      <c r="AF39" s="140"/>
      <c r="AG39" s="139">
        <v>44986</v>
      </c>
      <c r="AH39" s="140" t="str">
        <f>DATEDIF(E39,AG39,"y")&amp;"t"&amp;DATEDIF(E39,AG39,"ym")&amp;"th"</f>
        <v>56t5th</v>
      </c>
      <c r="AI39" s="98" t="s">
        <v>683</v>
      </c>
      <c r="AJ39" s="113" t="str">
        <f>QUOTIENT((VALUE(LEFT(AI39,2))*12+VALUE(MID(AI39,4,LEN(AI39)-5))-(VALUE(LEFT(AH39,2))*12+VALUE(MID(AH39,4,LEN(AH39)-5)))),12)&amp;"n"&amp;MOD(VALUE(LEFT(AI39,2))*12+VALUE(MID(AI39,4,LEN(AI39)-5))-(VALUE(LEFT(AH39,2))*12+VALUE(MID(AH39,4,LEN(AH39)-5))),12)&amp;"t"</f>
        <v>4n4t</v>
      </c>
      <c r="AK39" s="385" t="e">
        <f>SUM(AL39:AN39)</f>
        <v>#VALUE!</v>
      </c>
      <c r="AL39" s="163" t="e">
        <f>ROUND(IF(LEN(AJ39)&lt;3,VALUE(LEFT(AJ39,1))*3*AD39,(VALUE(LEFT(AJ39,1))*3+IF(VALUE(MID(AJ39,3,LEN(AJ39)-3))&gt;6,2,IF(VALUE(MID(AJ39,3,LEN(AJ39)-3))&gt;0,1,0)))*AD39),0)</f>
        <v>#VALUE!</v>
      </c>
      <c r="AM39" s="163" t="e">
        <f>ROUND(5*AD39,0)</f>
        <v>#VALUE!</v>
      </c>
      <c r="AN39" s="164" t="e">
        <f>ROUND(((VALUE(LEFT(AE39,2)-20))+IF(LEN(AE39)&lt;4,0,IF(VALUE(MID(AE39,4,LEN(AE39)-4))&gt;6,1,IF(VALUE(MID(AE39,4,LEN(AE39)-4))&gt;2,0.5,0))))*AD39*1/2,0)</f>
        <v>#VALUE!</v>
      </c>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row>
    <row r="40" spans="1:255" s="422" customFormat="1" ht="16.5" customHeight="1" x14ac:dyDescent="0.25">
      <c r="A40" s="116"/>
      <c r="B40" s="96"/>
      <c r="C40" s="439"/>
      <c r="D40" s="98"/>
      <c r="E40" s="98"/>
      <c r="F40" s="440"/>
      <c r="G40" s="212"/>
      <c r="H40" s="100"/>
      <c r="I40" s="98"/>
      <c r="J40" s="99"/>
      <c r="K40" s="98"/>
      <c r="L40" s="141"/>
      <c r="M40" s="98"/>
      <c r="N40" s="141"/>
      <c r="O40" s="98"/>
      <c r="P40" s="99"/>
      <c r="Q40" s="99"/>
      <c r="R40" s="100"/>
      <c r="S40" s="98"/>
      <c r="T40" s="472" t="s">
        <v>669</v>
      </c>
      <c r="U40" s="473" t="s">
        <v>670</v>
      </c>
      <c r="V40" s="474" t="e">
        <f t="shared" si="10"/>
        <v>#VALUE!</v>
      </c>
      <c r="W40" s="475">
        <v>3.99</v>
      </c>
      <c r="X40" s="475">
        <v>0.2</v>
      </c>
      <c r="Y40" s="476"/>
      <c r="Z40" s="477"/>
      <c r="AA40" s="478">
        <f t="shared" si="11"/>
        <v>4.1900000000000004</v>
      </c>
      <c r="AB40" s="479">
        <v>1390000</v>
      </c>
      <c r="AC40" s="479" t="e">
        <f t="shared" si="12"/>
        <v>#VALUE!</v>
      </c>
      <c r="AD40" s="225"/>
      <c r="AE40" s="418"/>
      <c r="AF40" s="99"/>
      <c r="AG40" s="98"/>
      <c r="AH40" s="99"/>
      <c r="AI40" s="98"/>
      <c r="AJ40" s="113"/>
      <c r="AK40" s="441"/>
      <c r="AL40" s="103"/>
      <c r="AM40" s="103"/>
      <c r="AN40" s="102"/>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row>
    <row r="41" spans="1:255" s="422" customFormat="1" ht="16.5" customHeight="1" x14ac:dyDescent="0.25">
      <c r="A41" s="116"/>
      <c r="B41" s="96"/>
      <c r="C41" s="439"/>
      <c r="D41" s="98"/>
      <c r="E41" s="98"/>
      <c r="F41" s="440"/>
      <c r="G41" s="212"/>
      <c r="H41" s="100"/>
      <c r="I41" s="98"/>
      <c r="J41" s="99"/>
      <c r="K41" s="98"/>
      <c r="L41" s="141"/>
      <c r="M41" s="98"/>
      <c r="N41" s="141"/>
      <c r="O41" s="98"/>
      <c r="P41" s="99"/>
      <c r="Q41" s="99"/>
      <c r="R41" s="100"/>
      <c r="S41" s="98"/>
      <c r="T41" s="472" t="s">
        <v>671</v>
      </c>
      <c r="U41" s="473">
        <v>44926</v>
      </c>
      <c r="V41" s="474">
        <f t="shared" si="10"/>
        <v>48</v>
      </c>
      <c r="W41" s="475">
        <v>4.32</v>
      </c>
      <c r="X41" s="475">
        <v>0.2</v>
      </c>
      <c r="Y41" s="476"/>
      <c r="Z41" s="477"/>
      <c r="AA41" s="478">
        <f t="shared" si="11"/>
        <v>4.5200000000000005</v>
      </c>
      <c r="AB41" s="479">
        <v>1490000</v>
      </c>
      <c r="AC41" s="479">
        <f t="shared" si="12"/>
        <v>323270400.00000006</v>
      </c>
      <c r="AD41" s="225"/>
      <c r="AE41" s="418"/>
      <c r="AF41" s="99"/>
      <c r="AG41" s="98"/>
      <c r="AH41" s="99"/>
      <c r="AI41" s="98"/>
      <c r="AJ41" s="113"/>
      <c r="AK41" s="441"/>
      <c r="AL41" s="103"/>
      <c r="AM41" s="103"/>
      <c r="AN41" s="102"/>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row>
    <row r="42" spans="1:255" s="422" customFormat="1" ht="16.5" customHeight="1" x14ac:dyDescent="0.25">
      <c r="A42" s="116"/>
      <c r="B42" s="96"/>
      <c r="C42" s="439"/>
      <c r="D42" s="98"/>
      <c r="E42" s="98"/>
      <c r="F42" s="440"/>
      <c r="G42" s="212"/>
      <c r="H42" s="100"/>
      <c r="I42" s="98"/>
      <c r="J42" s="99"/>
      <c r="K42" s="98"/>
      <c r="L42" s="141"/>
      <c r="M42" s="98"/>
      <c r="N42" s="141"/>
      <c r="O42" s="98"/>
      <c r="P42" s="99"/>
      <c r="Q42" s="99"/>
      <c r="R42" s="100"/>
      <c r="S42" s="98"/>
      <c r="T42" s="472">
        <v>44927</v>
      </c>
      <c r="U42" s="473">
        <v>44985</v>
      </c>
      <c r="V42" s="474">
        <f t="shared" si="10"/>
        <v>2</v>
      </c>
      <c r="W42" s="475">
        <v>4.6500000000000004</v>
      </c>
      <c r="X42" s="475">
        <v>0.2</v>
      </c>
      <c r="Y42" s="525"/>
      <c r="Z42" s="526"/>
      <c r="AA42" s="527">
        <f t="shared" si="11"/>
        <v>4.8500000000000005</v>
      </c>
      <c r="AB42" s="528">
        <v>1490000</v>
      </c>
      <c r="AC42" s="528">
        <f t="shared" si="12"/>
        <v>14453000.000000002</v>
      </c>
      <c r="AD42" s="225"/>
      <c r="AE42" s="418"/>
      <c r="AF42" s="99"/>
      <c r="AG42" s="98"/>
      <c r="AH42" s="99"/>
      <c r="AI42" s="98"/>
      <c r="AJ42" s="113"/>
      <c r="AK42" s="441"/>
      <c r="AL42" s="103"/>
      <c r="AM42" s="103"/>
      <c r="AN42" s="10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row>
    <row r="43" spans="1:255" s="422" customFormat="1" ht="16.5" customHeight="1" x14ac:dyDescent="0.25">
      <c r="A43" s="116"/>
      <c r="B43" s="429"/>
      <c r="C43" s="430"/>
      <c r="D43" s="431"/>
      <c r="E43" s="431"/>
      <c r="F43" s="432"/>
      <c r="G43" s="433"/>
      <c r="H43" s="432"/>
      <c r="I43" s="432"/>
      <c r="J43" s="432"/>
      <c r="K43" s="432"/>
      <c r="L43" s="432"/>
      <c r="M43" s="432"/>
      <c r="N43" s="432"/>
      <c r="O43" s="432"/>
      <c r="P43" s="432"/>
      <c r="Q43" s="432"/>
      <c r="R43" s="432"/>
      <c r="S43" s="432"/>
      <c r="T43" s="480"/>
      <c r="U43" s="480"/>
      <c r="V43" s="481" t="e">
        <f>SUM(V39:V42)</f>
        <v>#VALUE!</v>
      </c>
      <c r="W43" s="482"/>
      <c r="X43" s="480"/>
      <c r="Y43" s="480"/>
      <c r="Z43" s="480"/>
      <c r="AA43" s="482"/>
      <c r="AB43" s="483"/>
      <c r="AC43" s="483" t="e">
        <f>SUM(AC39:AC42)</f>
        <v>#VALUE!</v>
      </c>
      <c r="AD43" s="431"/>
      <c r="AE43" s="530"/>
      <c r="AF43" s="431"/>
      <c r="AG43" s="431"/>
      <c r="AH43" s="431"/>
      <c r="AI43" s="431"/>
      <c r="AJ43" s="431"/>
      <c r="AK43" s="230"/>
      <c r="AL43" s="431"/>
      <c r="AM43" s="431"/>
      <c r="AN43" s="434"/>
    </row>
    <row r="44" spans="1:255" s="422" customFormat="1" ht="48.75" customHeight="1" x14ac:dyDescent="0.25">
      <c r="A44" s="116" t="s">
        <v>723</v>
      </c>
      <c r="B44" s="140">
        <v>2</v>
      </c>
      <c r="C44" s="365" t="s">
        <v>719</v>
      </c>
      <c r="D44" s="139">
        <v>23538</v>
      </c>
      <c r="E44" s="98">
        <v>23559</v>
      </c>
      <c r="F44" s="140"/>
      <c r="G44" s="213" t="s">
        <v>720</v>
      </c>
      <c r="H44" s="461">
        <v>3.66</v>
      </c>
      <c r="I44" s="455">
        <v>44470</v>
      </c>
      <c r="J44" s="456">
        <v>0.25</v>
      </c>
      <c r="K44" s="458">
        <v>40330</v>
      </c>
      <c r="L44" s="457"/>
      <c r="M44" s="458"/>
      <c r="N44" s="457"/>
      <c r="O44" s="455"/>
      <c r="P44" s="460"/>
      <c r="Q44" s="460"/>
      <c r="R44" s="461" t="s">
        <v>725</v>
      </c>
      <c r="S44" s="459" t="s">
        <v>726</v>
      </c>
      <c r="T44" s="472">
        <f>EDATE(AG44,-60)</f>
        <v>43160</v>
      </c>
      <c r="U44" s="473" t="s">
        <v>668</v>
      </c>
      <c r="V44" s="474" t="e">
        <f t="shared" ref="V44:V48" si="13">ROUND(DAYS360(T44,U44,0)/30,0)</f>
        <v>#VALUE!</v>
      </c>
      <c r="W44" s="475">
        <v>3</v>
      </c>
      <c r="X44" s="475">
        <v>0.25</v>
      </c>
      <c r="Y44" s="476"/>
      <c r="Z44" s="477"/>
      <c r="AA44" s="478">
        <f t="shared" ref="AA44:AA48" si="14">W44+X44+Y44*W44+(W44+X44+Y44*W44)*Z44</f>
        <v>3.25</v>
      </c>
      <c r="AB44" s="479">
        <v>1300000</v>
      </c>
      <c r="AC44" s="479" t="e">
        <f t="shared" ref="AC44:AC48" si="15">V44*AA44*AB44</f>
        <v>#VALUE!</v>
      </c>
      <c r="AD44" s="227" t="e">
        <f>AC49/V49</f>
        <v>#VALUE!</v>
      </c>
      <c r="AE44" s="529" t="s">
        <v>727</v>
      </c>
      <c r="AF44" s="140"/>
      <c r="AG44" s="139">
        <v>44986</v>
      </c>
      <c r="AH44" s="140" t="str">
        <f>DATEDIF(E44,AG44,"y")&amp;"t"&amp;DATEDIF(E44,AG44,"ym")&amp;"th"</f>
        <v>58t8th</v>
      </c>
      <c r="AI44" s="98" t="s">
        <v>683</v>
      </c>
      <c r="AJ44" s="113" t="str">
        <f>QUOTIENT((VALUE(LEFT(AI44,2))*12+VALUE(MID(AI44,4,LEN(AI44)-5))-(VALUE(LEFT(AH44,2))*12+VALUE(MID(AH44,4,LEN(AH44)-5)))),12)&amp;"n"&amp;MOD(VALUE(LEFT(AI44,2))*12+VALUE(MID(AI44,4,LEN(AI44)-5))-(VALUE(LEFT(AH44,2))*12+VALUE(MID(AH44,4,LEN(AH44)-5))),12)&amp;"t"</f>
        <v>2n1t</v>
      </c>
      <c r="AK44" s="385" t="e">
        <f>SUM(AL44:AN44)</f>
        <v>#VALUE!</v>
      </c>
      <c r="AL44" s="163" t="e">
        <f>ROUND(IF(LEN(AJ44)&lt;3,VALUE(LEFT(AJ44,1))*3*AD44,(VALUE(LEFT(AJ44,1))*3+IF(VALUE(MID(AJ44,3,LEN(AJ44)-3))&gt;6,2,IF(VALUE(MID(AJ44,3,LEN(AJ44)-3))&gt;0,1,0)))*AD44),0)</f>
        <v>#VALUE!</v>
      </c>
      <c r="AM44" s="163" t="e">
        <f>ROUND(5*AD44,0)</f>
        <v>#VALUE!</v>
      </c>
      <c r="AN44" s="164" t="e">
        <f>ROUND(((VALUE(LEFT(AE44,2)-20))+IF(LEN(AE44)&lt;4,0,IF(VALUE(MID(AE44,4,LEN(AE44)-4))&gt;6,1,IF(VALUE(MID(AE44,4,LEN(AE44)-4))&gt;2,0.5,0))))*AD44*1/2,0)</f>
        <v>#VALUE!</v>
      </c>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row>
    <row r="45" spans="1:255" s="422" customFormat="1" ht="16.5" customHeight="1" x14ac:dyDescent="0.25">
      <c r="A45" s="116"/>
      <c r="B45" s="96"/>
      <c r="C45" s="439"/>
      <c r="D45" s="98"/>
      <c r="E45" s="98"/>
      <c r="F45" s="440"/>
      <c r="G45" s="212"/>
      <c r="H45" s="100"/>
      <c r="I45" s="98"/>
      <c r="J45" s="99"/>
      <c r="K45" s="98"/>
      <c r="L45" s="141"/>
      <c r="M45" s="98"/>
      <c r="N45" s="141"/>
      <c r="O45" s="98"/>
      <c r="P45" s="99"/>
      <c r="Q45" s="99"/>
      <c r="R45" s="100"/>
      <c r="S45" s="98"/>
      <c r="T45" s="472" t="s">
        <v>669</v>
      </c>
      <c r="U45" s="473">
        <v>43342</v>
      </c>
      <c r="V45" s="474">
        <f t="shared" ref="V45" si="16">ROUND(DAYS360(T45,U45,0)/30,0)</f>
        <v>8</v>
      </c>
      <c r="W45" s="475">
        <v>3</v>
      </c>
      <c r="X45" s="475">
        <v>0.25</v>
      </c>
      <c r="Y45" s="476"/>
      <c r="Z45" s="477"/>
      <c r="AA45" s="478">
        <f t="shared" ref="AA45" si="17">W45+X45+Y45*W45+(W45+X45+Y45*W45)*Z45</f>
        <v>3.25</v>
      </c>
      <c r="AB45" s="479">
        <v>1390000</v>
      </c>
      <c r="AC45" s="479">
        <f t="shared" ref="AC45" si="18">V45*AA45*AB45</f>
        <v>36140000</v>
      </c>
      <c r="AD45" s="225"/>
      <c r="AE45" s="418"/>
      <c r="AF45" s="99"/>
      <c r="AG45" s="98"/>
      <c r="AH45" s="99"/>
      <c r="AI45" s="98"/>
      <c r="AJ45" s="113"/>
      <c r="AK45" s="441"/>
      <c r="AL45" s="103"/>
      <c r="AM45" s="103"/>
      <c r="AN45" s="102"/>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row>
    <row r="46" spans="1:255" s="422" customFormat="1" ht="16.5" customHeight="1" x14ac:dyDescent="0.25">
      <c r="A46" s="116"/>
      <c r="B46" s="96"/>
      <c r="C46" s="439"/>
      <c r="D46" s="98"/>
      <c r="E46" s="98"/>
      <c r="F46" s="440"/>
      <c r="G46" s="212"/>
      <c r="H46" s="100"/>
      <c r="I46" s="98"/>
      <c r="J46" s="99"/>
      <c r="K46" s="98"/>
      <c r="L46" s="141"/>
      <c r="M46" s="98"/>
      <c r="N46" s="141"/>
      <c r="O46" s="98"/>
      <c r="P46" s="99"/>
      <c r="Q46" s="99"/>
      <c r="R46" s="100"/>
      <c r="S46" s="98"/>
      <c r="T46" s="472">
        <v>43344</v>
      </c>
      <c r="U46" s="473">
        <v>43646</v>
      </c>
      <c r="V46" s="474">
        <f t="shared" si="13"/>
        <v>10</v>
      </c>
      <c r="W46" s="475">
        <v>3.33</v>
      </c>
      <c r="X46" s="475">
        <v>0.25</v>
      </c>
      <c r="Y46" s="476"/>
      <c r="Z46" s="477"/>
      <c r="AA46" s="478">
        <f t="shared" si="14"/>
        <v>3.58</v>
      </c>
      <c r="AB46" s="479">
        <v>1390000</v>
      </c>
      <c r="AC46" s="479">
        <f t="shared" si="15"/>
        <v>49761999.999999993</v>
      </c>
      <c r="AD46" s="225"/>
      <c r="AE46" s="99"/>
      <c r="AF46" s="99"/>
      <c r="AG46" s="98"/>
      <c r="AH46" s="99"/>
      <c r="AI46" s="98"/>
      <c r="AJ46" s="113"/>
      <c r="AK46" s="441"/>
      <c r="AL46" s="103"/>
      <c r="AM46" s="103"/>
      <c r="AN46" s="102"/>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row>
    <row r="47" spans="1:255" s="422" customFormat="1" ht="16.5" customHeight="1" x14ac:dyDescent="0.25">
      <c r="A47" s="116"/>
      <c r="B47" s="96"/>
      <c r="C47" s="439"/>
      <c r="D47" s="98"/>
      <c r="E47" s="98"/>
      <c r="F47" s="440"/>
      <c r="G47" s="212"/>
      <c r="H47" s="100"/>
      <c r="I47" s="98"/>
      <c r="J47" s="99"/>
      <c r="K47" s="98"/>
      <c r="L47" s="141"/>
      <c r="M47" s="98"/>
      <c r="N47" s="141"/>
      <c r="O47" s="98"/>
      <c r="P47" s="99"/>
      <c r="Q47" s="99"/>
      <c r="R47" s="100"/>
      <c r="S47" s="98"/>
      <c r="T47" s="472" t="s">
        <v>671</v>
      </c>
      <c r="U47" s="473">
        <v>44469</v>
      </c>
      <c r="V47" s="474">
        <f t="shared" si="13"/>
        <v>33</v>
      </c>
      <c r="W47" s="475">
        <v>3.33</v>
      </c>
      <c r="X47" s="475">
        <v>0.25</v>
      </c>
      <c r="Y47" s="476"/>
      <c r="Z47" s="477"/>
      <c r="AA47" s="478">
        <f t="shared" si="14"/>
        <v>3.58</v>
      </c>
      <c r="AB47" s="479">
        <v>1490000</v>
      </c>
      <c r="AC47" s="479">
        <f t="shared" si="15"/>
        <v>176028600</v>
      </c>
      <c r="AD47" s="225"/>
      <c r="AE47" s="99"/>
      <c r="AF47" s="99"/>
      <c r="AG47" s="98"/>
      <c r="AH47" s="99"/>
      <c r="AI47" s="98"/>
      <c r="AJ47" s="113"/>
      <c r="AK47" s="441"/>
      <c r="AL47" s="103"/>
      <c r="AM47" s="103"/>
      <c r="AN47" s="102"/>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row>
    <row r="48" spans="1:255" s="422" customFormat="1" ht="16.5" customHeight="1" x14ac:dyDescent="0.25">
      <c r="A48" s="116"/>
      <c r="B48" s="96"/>
      <c r="C48" s="439"/>
      <c r="D48" s="98"/>
      <c r="E48" s="98"/>
      <c r="F48" s="440"/>
      <c r="G48" s="212"/>
      <c r="H48" s="100"/>
      <c r="I48" s="98"/>
      <c r="J48" s="99"/>
      <c r="K48" s="98"/>
      <c r="L48" s="141"/>
      <c r="M48" s="98"/>
      <c r="N48" s="141"/>
      <c r="O48" s="98"/>
      <c r="P48" s="99"/>
      <c r="Q48" s="99"/>
      <c r="R48" s="100"/>
      <c r="S48" s="98"/>
      <c r="T48" s="472">
        <v>44470</v>
      </c>
      <c r="U48" s="473">
        <v>44985</v>
      </c>
      <c r="V48" s="474">
        <f t="shared" si="13"/>
        <v>17</v>
      </c>
      <c r="W48" s="475">
        <v>3.66</v>
      </c>
      <c r="X48" s="475">
        <v>0.25</v>
      </c>
      <c r="Y48" s="525"/>
      <c r="Z48" s="526"/>
      <c r="AA48" s="527">
        <f t="shared" si="14"/>
        <v>3.91</v>
      </c>
      <c r="AB48" s="528">
        <v>1490000</v>
      </c>
      <c r="AC48" s="528">
        <f t="shared" si="15"/>
        <v>99040300</v>
      </c>
      <c r="AD48" s="225"/>
      <c r="AE48" s="99"/>
      <c r="AF48" s="99"/>
      <c r="AG48" s="98"/>
      <c r="AH48" s="99"/>
      <c r="AI48" s="98"/>
      <c r="AJ48" s="113"/>
      <c r="AK48" s="441"/>
      <c r="AL48" s="103"/>
      <c r="AM48" s="103"/>
      <c r="AN48" s="102"/>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row>
    <row r="49" spans="1:40" s="422" customFormat="1" ht="16.5" customHeight="1" x14ac:dyDescent="0.25">
      <c r="A49" s="116"/>
      <c r="B49" s="429"/>
      <c r="C49" s="430"/>
      <c r="D49" s="431"/>
      <c r="E49" s="431"/>
      <c r="F49" s="432"/>
      <c r="G49" s="433"/>
      <c r="H49" s="432"/>
      <c r="I49" s="432"/>
      <c r="J49" s="432"/>
      <c r="K49" s="432"/>
      <c r="L49" s="432"/>
      <c r="M49" s="432"/>
      <c r="N49" s="432"/>
      <c r="O49" s="432"/>
      <c r="P49" s="432"/>
      <c r="Q49" s="432"/>
      <c r="R49" s="432"/>
      <c r="S49" s="432"/>
      <c r="T49" s="480"/>
      <c r="U49" s="480"/>
      <c r="V49" s="481" t="e">
        <f>SUM(V44:V48)</f>
        <v>#VALUE!</v>
      </c>
      <c r="W49" s="482"/>
      <c r="X49" s="480"/>
      <c r="Y49" s="480"/>
      <c r="Z49" s="480"/>
      <c r="AA49" s="482"/>
      <c r="AB49" s="483"/>
      <c r="AC49" s="483" t="e">
        <f>SUM(AC44:AC48)</f>
        <v>#VALUE!</v>
      </c>
      <c r="AD49" s="431"/>
      <c r="AE49" s="431"/>
      <c r="AF49" s="431"/>
      <c r="AG49" s="431"/>
      <c r="AH49" s="431"/>
      <c r="AI49" s="431"/>
      <c r="AJ49" s="431"/>
      <c r="AK49" s="230"/>
      <c r="AL49" s="431"/>
      <c r="AM49" s="431"/>
      <c r="AN49" s="434"/>
    </row>
  </sheetData>
  <autoFilter ref="A14:A38" xr:uid="{00000000-0009-0000-0000-000005000000}"/>
  <mergeCells count="36">
    <mergeCell ref="P13:Q13"/>
    <mergeCell ref="R13:S13"/>
    <mergeCell ref="AJ13:AJ14"/>
    <mergeCell ref="AK13:AN13"/>
    <mergeCell ref="T13:AC13"/>
    <mergeCell ref="AD13:AD14"/>
    <mergeCell ref="AE13:AF13"/>
    <mergeCell ref="AG13:AG14"/>
    <mergeCell ref="AH13:AH14"/>
    <mergeCell ref="AI13:AI14"/>
    <mergeCell ref="G13:G14"/>
    <mergeCell ref="H13:I13"/>
    <mergeCell ref="J13:K13"/>
    <mergeCell ref="L13:M13"/>
    <mergeCell ref="N13:O13"/>
    <mergeCell ref="B13:B14"/>
    <mergeCell ref="C13:C14"/>
    <mergeCell ref="D13:D14"/>
    <mergeCell ref="E13:E14"/>
    <mergeCell ref="F13:F14"/>
    <mergeCell ref="B8:AN8"/>
    <mergeCell ref="B9:AN9"/>
    <mergeCell ref="B10:AN10"/>
    <mergeCell ref="B11:AN11"/>
    <mergeCell ref="B12:AN12"/>
    <mergeCell ref="B4:D4"/>
    <mergeCell ref="AF4:AN4"/>
    <mergeCell ref="B5:D5"/>
    <mergeCell ref="AF5:AN5"/>
    <mergeCell ref="B7:AN7"/>
    <mergeCell ref="B1:D1"/>
    <mergeCell ref="AK1:AN1"/>
    <mergeCell ref="B2:D2"/>
    <mergeCell ref="AF2:AN2"/>
    <mergeCell ref="B3:D3"/>
    <mergeCell ref="AF3:AN3"/>
  </mergeCells>
  <conditionalFormatting sqref="AF17:AH17">
    <cfRule type="timePeriod" dxfId="0" priority="1" timePeriod="lastMonth">
      <formula>AND(MONTH(AF17)=MONTH(EDATE(TODAY(),0-1)),YEAR(AF17)=YEAR(EDATE(TODAY(),0-1)))</formula>
    </cfRule>
  </conditionalFormatting>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U26"/>
  <sheetViews>
    <sheetView topLeftCell="A14" zoomScale="118" zoomScaleNormal="118" workbookViewId="0">
      <pane xSplit="4" ySplit="1" topLeftCell="E15" activePane="bottomRight" state="frozen"/>
      <selection activeCell="A14" sqref="A14"/>
      <selection pane="topRight" activeCell="E14" sqref="E14"/>
      <selection pane="bottomLeft" activeCell="A15" sqref="A15"/>
      <selection pane="bottomRight" activeCell="C16" sqref="C16"/>
    </sheetView>
  </sheetViews>
  <sheetFormatPr defaultRowHeight="15" x14ac:dyDescent="0.25"/>
  <cols>
    <col min="1" max="1" width="10.7109375" style="116" customWidth="1"/>
    <col min="2" max="2" width="2.42578125" style="436" customWidth="1"/>
    <col min="3" max="3" width="15.7109375" style="435" customWidth="1"/>
    <col min="4" max="4" width="7.42578125" style="436" customWidth="1"/>
    <col min="5" max="5" width="7.5703125" style="436" customWidth="1"/>
    <col min="6" max="6" width="4.28515625" style="437" customWidth="1"/>
    <col min="7" max="7" width="16.42578125" style="438" customWidth="1"/>
    <col min="8" max="8" width="3.5703125" style="437" customWidth="1"/>
    <col min="9" max="9" width="9" style="437" customWidth="1"/>
    <col min="10" max="10" width="3.7109375" style="437" customWidth="1"/>
    <col min="11" max="11" width="9.28515625" style="437" customWidth="1"/>
    <col min="12" max="12" width="3.28515625" style="437" customWidth="1"/>
    <col min="13" max="13" width="7.140625" style="437" customWidth="1"/>
    <col min="14" max="14" width="3.28515625" style="437" customWidth="1"/>
    <col min="15" max="15" width="7.5703125" style="437" customWidth="1"/>
    <col min="16" max="16" width="3.42578125" style="437" bestFit="1" customWidth="1"/>
    <col min="17" max="17" width="6.7109375" style="437" customWidth="1"/>
    <col min="18" max="18" width="6.28515625" style="437" customWidth="1"/>
    <col min="19" max="19" width="9.140625" style="437" customWidth="1"/>
    <col min="20" max="21" width="9.140625" style="436" customWidth="1"/>
    <col min="22" max="22" width="3.28515625" style="436" customWidth="1"/>
    <col min="23" max="23" width="3.7109375" style="435" customWidth="1"/>
    <col min="24" max="24" width="4" style="436" customWidth="1"/>
    <col min="25" max="25" width="3.85546875" style="436" customWidth="1"/>
    <col min="26" max="26" width="5.140625" style="435" customWidth="1"/>
    <col min="27" max="27" width="5.28515625" style="436" customWidth="1"/>
    <col min="28" max="28" width="7.140625" style="435" customWidth="1"/>
    <col min="29" max="29" width="10.7109375" style="436" bestFit="1" customWidth="1"/>
    <col min="30" max="30" width="11.140625" style="436" bestFit="1" customWidth="1"/>
    <col min="31" max="31" width="5.140625" style="436" customWidth="1"/>
    <col min="32" max="32" width="8.7109375" style="436" customWidth="1"/>
    <col min="33" max="33" width="8" style="436" customWidth="1"/>
    <col min="34" max="34" width="8.140625" style="436" customWidth="1"/>
    <col min="35" max="35" width="4.5703125" style="436" customWidth="1"/>
    <col min="36" max="36" width="6.140625" style="436" customWidth="1"/>
    <col min="37" max="37" width="12.7109375" style="187" bestFit="1" customWidth="1"/>
    <col min="38" max="38" width="12.140625" style="436" customWidth="1"/>
    <col min="39" max="39" width="12" style="436" customWidth="1"/>
    <col min="40" max="40" width="11.7109375" style="436" customWidth="1"/>
    <col min="41" max="41" width="15.140625" bestFit="1" customWidth="1"/>
  </cols>
  <sheetData>
    <row r="1" spans="1:255" x14ac:dyDescent="0.25">
      <c r="B1" s="666"/>
      <c r="C1" s="689"/>
      <c r="D1" s="666"/>
      <c r="E1" s="136"/>
      <c r="F1" s="397"/>
      <c r="G1" s="397"/>
      <c r="H1" s="397"/>
      <c r="I1" s="397"/>
      <c r="J1" s="397"/>
      <c r="K1" s="397"/>
      <c r="L1" s="397"/>
      <c r="M1" s="397"/>
      <c r="N1" s="397"/>
      <c r="O1" s="397"/>
      <c r="P1" s="397"/>
      <c r="Q1" s="397"/>
      <c r="R1" s="397"/>
      <c r="S1" s="397"/>
      <c r="T1" s="78"/>
      <c r="U1" s="78"/>
      <c r="V1" s="78"/>
      <c r="W1" s="398"/>
      <c r="X1" s="78"/>
      <c r="Y1" s="78"/>
      <c r="Z1" s="398"/>
      <c r="AA1" s="78"/>
      <c r="AB1" s="398"/>
      <c r="AC1" s="78"/>
      <c r="AD1" s="78"/>
      <c r="AE1" s="78"/>
      <c r="AF1" s="78"/>
      <c r="AG1" s="78"/>
      <c r="AH1" s="78"/>
      <c r="AI1" s="78"/>
      <c r="AJ1" s="78"/>
      <c r="AK1" s="667" t="s">
        <v>237</v>
      </c>
      <c r="AL1" s="667"/>
      <c r="AM1" s="667"/>
      <c r="AN1" s="667"/>
    </row>
    <row r="2" spans="1:255" x14ac:dyDescent="0.25">
      <c r="A2" s="269"/>
      <c r="B2" s="690" t="s">
        <v>232</v>
      </c>
      <c r="C2" s="691"/>
      <c r="D2" s="690"/>
      <c r="E2" s="270"/>
      <c r="F2" s="399"/>
      <c r="G2" s="399"/>
      <c r="H2" s="399"/>
      <c r="I2" s="399"/>
      <c r="J2" s="399"/>
      <c r="K2" s="399"/>
      <c r="L2" s="399"/>
      <c r="M2" s="399"/>
      <c r="N2" s="399"/>
      <c r="O2" s="399"/>
      <c r="P2" s="399"/>
      <c r="Q2" s="399"/>
      <c r="R2" s="399"/>
      <c r="S2" s="399"/>
      <c r="T2" s="271"/>
      <c r="U2" s="271"/>
      <c r="V2" s="271"/>
      <c r="W2" s="400"/>
      <c r="X2" s="271"/>
      <c r="Y2" s="271"/>
      <c r="Z2" s="400"/>
      <c r="AA2" s="271"/>
      <c r="AB2" s="400"/>
      <c r="AC2" s="271"/>
      <c r="AD2" s="271"/>
      <c r="AE2" s="271"/>
      <c r="AF2" s="692" t="s">
        <v>383</v>
      </c>
      <c r="AG2" s="692"/>
      <c r="AH2" s="692"/>
      <c r="AI2" s="692"/>
      <c r="AJ2" s="692"/>
      <c r="AK2" s="692"/>
      <c r="AL2" s="692"/>
      <c r="AM2" s="692"/>
      <c r="AN2" s="692"/>
    </row>
    <row r="3" spans="1:255" x14ac:dyDescent="0.25">
      <c r="A3" s="269"/>
      <c r="B3" s="693" t="s">
        <v>652</v>
      </c>
      <c r="C3" s="694"/>
      <c r="D3" s="693"/>
      <c r="E3" s="270"/>
      <c r="F3" s="399"/>
      <c r="G3" s="399"/>
      <c r="H3" s="399"/>
      <c r="I3" s="399"/>
      <c r="J3" s="399"/>
      <c r="K3" s="399"/>
      <c r="L3" s="399"/>
      <c r="M3" s="399"/>
      <c r="N3" s="399"/>
      <c r="O3" s="399"/>
      <c r="P3" s="399"/>
      <c r="Q3" s="399"/>
      <c r="R3" s="399"/>
      <c r="S3" s="399"/>
      <c r="T3" s="271"/>
      <c r="U3" s="271"/>
      <c r="V3" s="271"/>
      <c r="W3" s="400"/>
      <c r="X3" s="271"/>
      <c r="Y3" s="271"/>
      <c r="Z3" s="400"/>
      <c r="AA3" s="271"/>
      <c r="AB3" s="400"/>
      <c r="AC3" s="271"/>
      <c r="AD3" s="271"/>
      <c r="AE3" s="271"/>
      <c r="AF3" s="693" t="s">
        <v>384</v>
      </c>
      <c r="AG3" s="693"/>
      <c r="AH3" s="693"/>
      <c r="AI3" s="693"/>
      <c r="AJ3" s="693"/>
      <c r="AK3" s="693"/>
      <c r="AL3" s="693"/>
      <c r="AM3" s="693"/>
      <c r="AN3" s="693"/>
    </row>
    <row r="4" spans="1:255" x14ac:dyDescent="0.25">
      <c r="A4" s="269"/>
      <c r="B4" s="692"/>
      <c r="C4" s="692"/>
      <c r="D4" s="692"/>
      <c r="E4" s="270"/>
      <c r="F4" s="399"/>
      <c r="G4" s="399"/>
      <c r="H4" s="399"/>
      <c r="I4" s="399"/>
      <c r="J4" s="399"/>
      <c r="K4" s="399"/>
      <c r="L4" s="399"/>
      <c r="M4" s="399"/>
      <c r="N4" s="399"/>
      <c r="O4" s="399"/>
      <c r="P4" s="399"/>
      <c r="Q4" s="399"/>
      <c r="R4" s="399"/>
      <c r="S4" s="399"/>
      <c r="T4" s="271"/>
      <c r="U4" s="271"/>
      <c r="V4" s="271"/>
      <c r="W4" s="400"/>
      <c r="X4" s="271"/>
      <c r="Y4" s="271"/>
      <c r="Z4" s="400"/>
      <c r="AA4" s="271"/>
      <c r="AB4" s="400"/>
      <c r="AC4" s="271"/>
      <c r="AD4" s="271"/>
      <c r="AE4" s="271"/>
      <c r="AF4" s="692"/>
      <c r="AG4" s="692"/>
      <c r="AH4" s="692"/>
      <c r="AI4" s="692"/>
      <c r="AJ4" s="692"/>
      <c r="AK4" s="692"/>
      <c r="AL4" s="692"/>
      <c r="AM4" s="692"/>
      <c r="AN4" s="692"/>
    </row>
    <row r="5" spans="1:255" x14ac:dyDescent="0.25">
      <c r="A5" s="269"/>
      <c r="B5" s="693"/>
      <c r="C5" s="693"/>
      <c r="D5" s="693"/>
      <c r="E5" s="270"/>
      <c r="F5" s="399"/>
      <c r="G5" s="399"/>
      <c r="H5" s="399"/>
      <c r="I5" s="399"/>
      <c r="J5" s="399"/>
      <c r="K5" s="399"/>
      <c r="L5" s="399"/>
      <c r="M5" s="399"/>
      <c r="N5" s="399"/>
      <c r="O5" s="399"/>
      <c r="P5" s="399"/>
      <c r="Q5" s="399"/>
      <c r="R5" s="399"/>
      <c r="S5" s="399"/>
      <c r="T5" s="271"/>
      <c r="U5" s="271"/>
      <c r="V5" s="271"/>
      <c r="W5" s="400"/>
      <c r="X5" s="271"/>
      <c r="Y5" s="271"/>
      <c r="Z5" s="400"/>
      <c r="AA5" s="271"/>
      <c r="AB5" s="400"/>
      <c r="AC5" s="271"/>
      <c r="AD5" s="271"/>
      <c r="AE5" s="271"/>
      <c r="AF5" s="693"/>
      <c r="AG5" s="693"/>
      <c r="AH5" s="693"/>
      <c r="AI5" s="693"/>
      <c r="AJ5" s="693"/>
      <c r="AK5" s="693"/>
      <c r="AL5" s="693"/>
      <c r="AM5" s="693"/>
      <c r="AN5" s="693"/>
    </row>
    <row r="6" spans="1:255" x14ac:dyDescent="0.25">
      <c r="A6" s="269"/>
      <c r="B6" s="368"/>
      <c r="C6" s="368"/>
      <c r="D6" s="368"/>
      <c r="E6" s="270"/>
      <c r="F6" s="399"/>
      <c r="G6" s="399"/>
      <c r="H6" s="399"/>
      <c r="I6" s="399"/>
      <c r="J6" s="399"/>
      <c r="K6" s="399"/>
      <c r="L6" s="399"/>
      <c r="M6" s="399"/>
      <c r="N6" s="399"/>
      <c r="O6" s="399"/>
      <c r="P6" s="399"/>
      <c r="Q6" s="399"/>
      <c r="R6" s="399"/>
      <c r="S6" s="399"/>
      <c r="T6" s="271"/>
      <c r="U6" s="271"/>
      <c r="V6" s="271"/>
      <c r="W6" s="400"/>
      <c r="X6" s="271"/>
      <c r="Y6" s="271"/>
      <c r="Z6" s="400"/>
      <c r="AA6" s="271"/>
      <c r="AB6" s="400"/>
      <c r="AC6" s="271"/>
      <c r="AD6" s="271"/>
      <c r="AE6" s="271"/>
      <c r="AF6" s="368"/>
      <c r="AG6" s="368"/>
      <c r="AH6" s="368"/>
      <c r="AI6" s="368"/>
      <c r="AJ6" s="368"/>
      <c r="AK6" s="368"/>
      <c r="AL6" s="368"/>
      <c r="AM6" s="368"/>
      <c r="AN6" s="368"/>
    </row>
    <row r="7" spans="1:255" s="217" customFormat="1" ht="15.75" x14ac:dyDescent="0.25">
      <c r="A7" s="268"/>
      <c r="B7" s="652" t="s">
        <v>654</v>
      </c>
      <c r="C7" s="695"/>
      <c r="D7" s="652"/>
      <c r="E7" s="652"/>
      <c r="F7" s="652"/>
      <c r="G7" s="652"/>
      <c r="H7" s="652"/>
      <c r="I7" s="652"/>
      <c r="J7" s="652"/>
      <c r="K7" s="652"/>
      <c r="L7" s="652"/>
      <c r="M7" s="652"/>
      <c r="N7" s="652"/>
      <c r="O7" s="652"/>
      <c r="P7" s="652"/>
      <c r="Q7" s="652"/>
      <c r="R7" s="652"/>
      <c r="S7" s="652"/>
      <c r="T7" s="652"/>
      <c r="U7" s="652"/>
      <c r="V7" s="652"/>
      <c r="W7" s="695"/>
      <c r="X7" s="652"/>
      <c r="Y7" s="652"/>
      <c r="Z7" s="695"/>
      <c r="AA7" s="652"/>
      <c r="AB7" s="695"/>
      <c r="AC7" s="652"/>
      <c r="AD7" s="652"/>
      <c r="AE7" s="652"/>
      <c r="AF7" s="652"/>
      <c r="AG7" s="652"/>
      <c r="AH7" s="652"/>
      <c r="AI7" s="652"/>
      <c r="AJ7" s="652"/>
      <c r="AK7" s="652"/>
      <c r="AL7" s="652"/>
      <c r="AM7" s="652"/>
      <c r="AN7" s="652"/>
    </row>
    <row r="8" spans="1:255" s="125" customFormat="1" ht="15.75" x14ac:dyDescent="0.2">
      <c r="A8" s="116"/>
      <c r="B8" s="696" t="s">
        <v>651</v>
      </c>
      <c r="C8" s="697"/>
      <c r="D8" s="696"/>
      <c r="E8" s="696"/>
      <c r="F8" s="696"/>
      <c r="G8" s="696"/>
      <c r="H8" s="696"/>
      <c r="I8" s="696"/>
      <c r="J8" s="696"/>
      <c r="K8" s="696"/>
      <c r="L8" s="696"/>
      <c r="M8" s="696"/>
      <c r="N8" s="696"/>
      <c r="O8" s="696"/>
      <c r="P8" s="696"/>
      <c r="Q8" s="696"/>
      <c r="R8" s="696"/>
      <c r="S8" s="696"/>
      <c r="T8" s="696"/>
      <c r="U8" s="696"/>
      <c r="V8" s="696"/>
      <c r="W8" s="697"/>
      <c r="X8" s="696"/>
      <c r="Y8" s="696"/>
      <c r="Z8" s="697"/>
      <c r="AA8" s="696"/>
      <c r="AB8" s="697"/>
      <c r="AC8" s="696"/>
      <c r="AD8" s="696"/>
      <c r="AE8" s="696"/>
      <c r="AF8" s="696"/>
      <c r="AG8" s="696"/>
      <c r="AH8" s="696"/>
      <c r="AI8" s="696"/>
      <c r="AJ8" s="696"/>
      <c r="AK8" s="696"/>
      <c r="AL8" s="696"/>
      <c r="AM8" s="696"/>
      <c r="AN8" s="696"/>
    </row>
    <row r="9" spans="1:255" s="125" customFormat="1" ht="15.75" x14ac:dyDescent="0.2">
      <c r="A9" s="116"/>
      <c r="B9" s="696"/>
      <c r="C9" s="697"/>
      <c r="D9" s="696"/>
      <c r="E9" s="696"/>
      <c r="F9" s="696"/>
      <c r="G9" s="696"/>
      <c r="H9" s="696"/>
      <c r="I9" s="696"/>
      <c r="J9" s="696"/>
      <c r="K9" s="696"/>
      <c r="L9" s="696"/>
      <c r="M9" s="696"/>
      <c r="N9" s="696"/>
      <c r="O9" s="696"/>
      <c r="P9" s="696"/>
      <c r="Q9" s="696"/>
      <c r="R9" s="696"/>
      <c r="S9" s="696"/>
      <c r="T9" s="696"/>
      <c r="U9" s="696"/>
      <c r="V9" s="696"/>
      <c r="W9" s="696"/>
      <c r="X9" s="696"/>
      <c r="Y9" s="696"/>
      <c r="Z9" s="696"/>
      <c r="AA9" s="696"/>
      <c r="AB9" s="696"/>
      <c r="AC9" s="696"/>
      <c r="AD9" s="696"/>
      <c r="AE9" s="696"/>
      <c r="AF9" s="696"/>
      <c r="AG9" s="696"/>
      <c r="AH9" s="696"/>
      <c r="AI9" s="696"/>
      <c r="AJ9" s="696"/>
      <c r="AK9" s="696"/>
      <c r="AL9" s="696"/>
      <c r="AM9" s="696"/>
      <c r="AN9" s="696"/>
    </row>
    <row r="10" spans="1:255" s="125" customFormat="1" ht="15.75" hidden="1" x14ac:dyDescent="0.2">
      <c r="A10" s="116"/>
      <c r="B10" s="696" t="s">
        <v>653</v>
      </c>
      <c r="C10" s="697"/>
      <c r="D10" s="696"/>
      <c r="E10" s="696"/>
      <c r="F10" s="696"/>
      <c r="G10" s="696"/>
      <c r="H10" s="696"/>
      <c r="I10" s="696"/>
      <c r="J10" s="696"/>
      <c r="K10" s="696"/>
      <c r="L10" s="696"/>
      <c r="M10" s="696"/>
      <c r="N10" s="696"/>
      <c r="O10" s="696"/>
      <c r="P10" s="696"/>
      <c r="Q10" s="696"/>
      <c r="R10" s="696"/>
      <c r="S10" s="696"/>
      <c r="T10" s="696"/>
      <c r="U10" s="696"/>
      <c r="V10" s="696"/>
      <c r="W10" s="696"/>
      <c r="X10" s="696"/>
      <c r="Y10" s="696"/>
      <c r="Z10" s="696"/>
      <c r="AA10" s="696"/>
      <c r="AB10" s="696"/>
      <c r="AC10" s="696"/>
      <c r="AD10" s="696"/>
      <c r="AE10" s="696"/>
      <c r="AF10" s="696"/>
      <c r="AG10" s="696"/>
      <c r="AH10" s="696"/>
      <c r="AI10" s="696"/>
      <c r="AJ10" s="696"/>
      <c r="AK10" s="696"/>
      <c r="AL10" s="696"/>
      <c r="AM10" s="696"/>
      <c r="AN10" s="696"/>
    </row>
    <row r="11" spans="1:255" s="125" customFormat="1" ht="3.75" customHeight="1" x14ac:dyDescent="0.2">
      <c r="A11" s="116"/>
      <c r="B11" s="696"/>
      <c r="C11" s="697"/>
      <c r="D11" s="696"/>
      <c r="E11" s="696"/>
      <c r="F11" s="696"/>
      <c r="G11" s="696"/>
      <c r="H11" s="696"/>
      <c r="I11" s="696"/>
      <c r="J11" s="696"/>
      <c r="K11" s="696"/>
      <c r="L11" s="696"/>
      <c r="M11" s="696"/>
      <c r="N11" s="696"/>
      <c r="O11" s="696"/>
      <c r="P11" s="696"/>
      <c r="Q11" s="696"/>
      <c r="R11" s="696"/>
      <c r="S11" s="696"/>
      <c r="T11" s="696"/>
      <c r="U11" s="696"/>
      <c r="V11" s="696"/>
      <c r="W11" s="696"/>
      <c r="X11" s="696"/>
      <c r="Y11" s="696"/>
      <c r="Z11" s="696"/>
      <c r="AA11" s="696"/>
      <c r="AB11" s="696"/>
      <c r="AC11" s="696"/>
      <c r="AD11" s="696"/>
      <c r="AE11" s="696"/>
      <c r="AF11" s="696"/>
      <c r="AG11" s="696"/>
      <c r="AH11" s="696"/>
      <c r="AI11" s="696"/>
      <c r="AJ11" s="696"/>
      <c r="AK11" s="696"/>
      <c r="AL11" s="696"/>
      <c r="AM11" s="696"/>
      <c r="AN11" s="696"/>
    </row>
    <row r="12" spans="1:255" s="125" customFormat="1" ht="4.5" customHeight="1" thickBot="1" x14ac:dyDescent="0.25">
      <c r="A12" s="116"/>
      <c r="B12" s="698"/>
      <c r="C12" s="699"/>
      <c r="D12" s="698"/>
      <c r="E12" s="698"/>
      <c r="F12" s="698"/>
      <c r="G12" s="698"/>
      <c r="H12" s="698"/>
      <c r="I12" s="698"/>
      <c r="J12" s="698"/>
      <c r="K12" s="698"/>
      <c r="L12" s="698"/>
      <c r="M12" s="698"/>
      <c r="N12" s="698"/>
      <c r="O12" s="698"/>
      <c r="P12" s="698"/>
      <c r="Q12" s="698"/>
      <c r="R12" s="698"/>
      <c r="S12" s="698"/>
      <c r="T12" s="698"/>
      <c r="U12" s="698"/>
      <c r="V12" s="698"/>
      <c r="W12" s="699"/>
      <c r="X12" s="698"/>
      <c r="Y12" s="698"/>
      <c r="Z12" s="699"/>
      <c r="AA12" s="698"/>
      <c r="AB12" s="699"/>
      <c r="AC12" s="698"/>
      <c r="AD12" s="698"/>
      <c r="AE12" s="698"/>
      <c r="AF12" s="698"/>
      <c r="AG12" s="698"/>
      <c r="AH12" s="698"/>
      <c r="AI12" s="698"/>
      <c r="AJ12" s="698"/>
      <c r="AK12" s="698"/>
      <c r="AL12" s="698"/>
      <c r="AM12" s="698"/>
      <c r="AN12" s="698"/>
    </row>
    <row r="13" spans="1:255" s="402" customFormat="1" ht="51" customHeight="1" x14ac:dyDescent="0.25">
      <c r="A13" s="116"/>
      <c r="B13" s="700" t="s">
        <v>3</v>
      </c>
      <c r="C13" s="702" t="s">
        <v>4</v>
      </c>
      <c r="D13" s="704" t="s">
        <v>5</v>
      </c>
      <c r="E13" s="702" t="s">
        <v>189</v>
      </c>
      <c r="F13" s="706" t="s">
        <v>6</v>
      </c>
      <c r="G13" s="704" t="s">
        <v>7</v>
      </c>
      <c r="H13" s="708" t="s">
        <v>8</v>
      </c>
      <c r="I13" s="709"/>
      <c r="J13" s="708" t="s">
        <v>179</v>
      </c>
      <c r="K13" s="709"/>
      <c r="L13" s="708" t="s">
        <v>176</v>
      </c>
      <c r="M13" s="709"/>
      <c r="N13" s="708" t="s">
        <v>177</v>
      </c>
      <c r="O13" s="709"/>
      <c r="P13" s="708" t="s">
        <v>178</v>
      </c>
      <c r="Q13" s="709"/>
      <c r="R13" s="708" t="s">
        <v>13</v>
      </c>
      <c r="S13" s="709"/>
      <c r="T13" s="712" t="s">
        <v>83</v>
      </c>
      <c r="U13" s="713"/>
      <c r="V13" s="713"/>
      <c r="W13" s="713"/>
      <c r="X13" s="713"/>
      <c r="Y13" s="713"/>
      <c r="Z13" s="713"/>
      <c r="AA13" s="713"/>
      <c r="AB13" s="713"/>
      <c r="AC13" s="714"/>
      <c r="AD13" s="704" t="s">
        <v>97</v>
      </c>
      <c r="AE13" s="708" t="s">
        <v>14</v>
      </c>
      <c r="AF13" s="709"/>
      <c r="AG13" s="704" t="s">
        <v>15</v>
      </c>
      <c r="AH13" s="704" t="s">
        <v>16</v>
      </c>
      <c r="AI13" s="710" t="s">
        <v>149</v>
      </c>
      <c r="AJ13" s="710" t="s">
        <v>93</v>
      </c>
      <c r="AK13" s="712" t="s">
        <v>95</v>
      </c>
      <c r="AL13" s="713"/>
      <c r="AM13" s="713"/>
      <c r="AN13" s="714"/>
      <c r="AO13" s="401"/>
    </row>
    <row r="14" spans="1:255" s="402" customFormat="1" ht="69.75" customHeight="1" x14ac:dyDescent="0.25">
      <c r="A14" s="116"/>
      <c r="B14" s="701"/>
      <c r="C14" s="703"/>
      <c r="D14" s="705"/>
      <c r="E14" s="703"/>
      <c r="F14" s="707"/>
      <c r="G14" s="705"/>
      <c r="H14" s="403" t="s">
        <v>18</v>
      </c>
      <c r="I14" s="404" t="s">
        <v>19</v>
      </c>
      <c r="J14" s="404" t="s">
        <v>20</v>
      </c>
      <c r="K14" s="404" t="s">
        <v>19</v>
      </c>
      <c r="L14" s="403" t="s">
        <v>21</v>
      </c>
      <c r="M14" s="404" t="s">
        <v>19</v>
      </c>
      <c r="N14" s="403" t="s">
        <v>21</v>
      </c>
      <c r="O14" s="404" t="s">
        <v>19</v>
      </c>
      <c r="P14" s="404" t="s">
        <v>20</v>
      </c>
      <c r="Q14" s="404" t="s">
        <v>19</v>
      </c>
      <c r="R14" s="404" t="s">
        <v>20</v>
      </c>
      <c r="S14" s="404" t="s">
        <v>19</v>
      </c>
      <c r="T14" s="405" t="s">
        <v>84</v>
      </c>
      <c r="U14" s="405" t="s">
        <v>85</v>
      </c>
      <c r="V14" s="406" t="s">
        <v>86</v>
      </c>
      <c r="W14" s="406" t="s">
        <v>20</v>
      </c>
      <c r="X14" s="406" t="s">
        <v>87</v>
      </c>
      <c r="Y14" s="406" t="s">
        <v>91</v>
      </c>
      <c r="Z14" s="406" t="s">
        <v>92</v>
      </c>
      <c r="AA14" s="406" t="s">
        <v>90</v>
      </c>
      <c r="AB14" s="405" t="s">
        <v>88</v>
      </c>
      <c r="AC14" s="405" t="s">
        <v>89</v>
      </c>
      <c r="AD14" s="705"/>
      <c r="AE14" s="404" t="s">
        <v>22</v>
      </c>
      <c r="AF14" s="407" t="s">
        <v>23</v>
      </c>
      <c r="AG14" s="705"/>
      <c r="AH14" s="705"/>
      <c r="AI14" s="711"/>
      <c r="AJ14" s="711"/>
      <c r="AK14" s="408" t="s">
        <v>24</v>
      </c>
      <c r="AL14" s="409" t="s">
        <v>25</v>
      </c>
      <c r="AM14" s="409" t="s">
        <v>26</v>
      </c>
      <c r="AN14" s="409" t="s">
        <v>27</v>
      </c>
      <c r="AO14" s="401"/>
    </row>
    <row r="15" spans="1:255" s="413" customFormat="1" x14ac:dyDescent="0.25">
      <c r="A15" s="410"/>
      <c r="B15" s="411"/>
      <c r="C15" s="412" t="s">
        <v>28</v>
      </c>
      <c r="D15" s="243">
        <v>1</v>
      </c>
      <c r="E15" s="243"/>
      <c r="F15" s="243">
        <v>2</v>
      </c>
      <c r="G15" s="243">
        <v>3</v>
      </c>
      <c r="H15" s="243">
        <v>4</v>
      </c>
      <c r="I15" s="243">
        <v>5</v>
      </c>
      <c r="J15" s="243">
        <v>6</v>
      </c>
      <c r="K15" s="243">
        <v>7</v>
      </c>
      <c r="L15" s="243">
        <v>8</v>
      </c>
      <c r="M15" s="243">
        <v>9</v>
      </c>
      <c r="N15" s="243">
        <v>10</v>
      </c>
      <c r="O15" s="243">
        <v>11</v>
      </c>
      <c r="P15" s="243">
        <v>12</v>
      </c>
      <c r="Q15" s="243">
        <v>13</v>
      </c>
      <c r="R15" s="243">
        <v>14</v>
      </c>
      <c r="S15" s="243">
        <v>15</v>
      </c>
      <c r="T15" s="243"/>
      <c r="U15" s="243"/>
      <c r="V15" s="243"/>
      <c r="W15" s="412"/>
      <c r="X15" s="243"/>
      <c r="Y15" s="243"/>
      <c r="Z15" s="412"/>
      <c r="AA15" s="243"/>
      <c r="AB15" s="412"/>
      <c r="AC15" s="243"/>
      <c r="AD15" s="243">
        <v>16</v>
      </c>
      <c r="AE15" s="243">
        <v>17</v>
      </c>
      <c r="AF15" s="243">
        <v>18</v>
      </c>
      <c r="AG15" s="243">
        <v>19</v>
      </c>
      <c r="AH15" s="243">
        <v>20</v>
      </c>
      <c r="AI15" s="243"/>
      <c r="AJ15" s="243"/>
      <c r="AK15" s="243">
        <v>21</v>
      </c>
      <c r="AL15" s="243">
        <v>22</v>
      </c>
      <c r="AM15" s="243">
        <v>23</v>
      </c>
      <c r="AN15" s="243">
        <v>24</v>
      </c>
    </row>
    <row r="16" spans="1:255" s="422" customFormat="1" ht="82.5" customHeight="1" x14ac:dyDescent="0.25">
      <c r="A16" s="116"/>
      <c r="B16" s="137">
        <v>14</v>
      </c>
      <c r="C16" s="277"/>
      <c r="D16" s="139">
        <v>25143</v>
      </c>
      <c r="E16" s="98">
        <f>DATE(YEAR(D16),MONTH(D16)+1,1)</f>
        <v>25173</v>
      </c>
      <c r="F16" s="417"/>
      <c r="G16" s="213"/>
      <c r="H16" s="155" t="s">
        <v>663</v>
      </c>
      <c r="I16" s="139">
        <v>44562</v>
      </c>
      <c r="J16" s="140" t="s">
        <v>665</v>
      </c>
      <c r="K16" s="462" t="s">
        <v>666</v>
      </c>
      <c r="L16" s="161"/>
      <c r="M16" s="139"/>
      <c r="N16" s="161" t="s">
        <v>394</v>
      </c>
      <c r="O16" s="139" t="s">
        <v>661</v>
      </c>
      <c r="P16" s="140"/>
      <c r="Q16" s="140"/>
      <c r="R16" s="155"/>
      <c r="S16" s="139"/>
      <c r="T16" s="139">
        <f>EDATE(AG16,-60)</f>
        <v>42917</v>
      </c>
      <c r="U16" s="81">
        <v>43281</v>
      </c>
      <c r="V16" s="82">
        <f t="shared" ref="V16:V22" si="0">ROUND(DAYS360(T16,U16,0)/30,0)</f>
        <v>12</v>
      </c>
      <c r="W16" s="418">
        <v>4.9800000000000004</v>
      </c>
      <c r="X16" s="99">
        <v>0.3</v>
      </c>
      <c r="Y16" s="419">
        <v>0.08</v>
      </c>
      <c r="Z16" s="420"/>
      <c r="AA16" s="83">
        <f t="shared" ref="AA16:AA22" si="1">W16+X16+Y16*W16+(W16+X16+Y16*W16)*Z16</f>
        <v>5.6783999999999999</v>
      </c>
      <c r="AB16" s="421">
        <v>1300000</v>
      </c>
      <c r="AC16" s="84">
        <f t="shared" ref="AC16:AC22" si="2">V16*AA16*AB16</f>
        <v>88583040</v>
      </c>
      <c r="AD16" s="227">
        <f>AC23/V23</f>
        <v>8494015.0447761193</v>
      </c>
      <c r="AE16" s="140" t="s">
        <v>667</v>
      </c>
      <c r="AF16" s="140"/>
      <c r="AG16" s="139">
        <v>44743</v>
      </c>
      <c r="AH16" s="140" t="str">
        <f>DATEDIF(E16,AG16,"y")&amp;"t"&amp;DATEDIF(E16,AG16,"ym")&amp;"th"</f>
        <v>53t7th</v>
      </c>
      <c r="AI16" s="98" t="s">
        <v>659</v>
      </c>
      <c r="AJ16" s="113" t="str">
        <f>QUOTIENT((VALUE(LEFT(AI16,2))*12+VALUE(MID(AI16,4,LEN(AI16)-5))-(VALUE(LEFT(AH16,2))*12+VALUE(MID(AH16,4,LEN(AH16)-5)))),12)&amp;"n"&amp;MOD(VALUE(LEFT(AI16,2))*12+VALUE(MID(AI16,4,LEN(AI16)-5))-(VALUE(LEFT(AH16,2))*12+VALUE(MID(AH16,4,LEN(AH16)-5))),12)&amp;"t"</f>
        <v>1n11t</v>
      </c>
      <c r="AK16" s="385">
        <f>SUM(AL16:AN16)</f>
        <v>161386285</v>
      </c>
      <c r="AL16" s="163">
        <f>ROUND(IF(LEN(AJ16)&lt;3,VALUE(LEFT(AJ16,1))*3*AD16,(VALUE(LEFT(AJ16,1))*3+IF(VALUE(MID(AJ16,3,LEN(AJ16)-3))&gt;6,2,IF(VALUE(MID(AJ16,3,LEN(AJ16)-3))&gt;0,1,0)))*AD16),0)</f>
        <v>42470075</v>
      </c>
      <c r="AM16" s="163">
        <f>ROUND(5*AD16,0)</f>
        <v>42470075</v>
      </c>
      <c r="AN16" s="164">
        <f>ROUND(((VALUE(LEFT(AE16,2)-20))+IF(LEN(AE16)&lt;4,0,IF(VALUE(MID(AE16,4,LEN(AE16)-4))&gt;6,1,IF(VALUE(MID(AE16,4,LEN(AE16)-4))&gt;2,0.5,0))))*AD16*1/2,0)</f>
        <v>76446135</v>
      </c>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row>
    <row r="17" spans="1:255" s="422" customFormat="1" x14ac:dyDescent="0.25">
      <c r="A17" s="116"/>
      <c r="B17" s="96"/>
      <c r="C17" s="439"/>
      <c r="D17" s="98"/>
      <c r="E17" s="98"/>
      <c r="F17" s="440"/>
      <c r="G17" s="212"/>
      <c r="H17" s="100"/>
      <c r="I17" s="98"/>
      <c r="J17" s="99"/>
      <c r="K17" s="98"/>
      <c r="L17" s="141"/>
      <c r="M17" s="98"/>
      <c r="N17" s="141"/>
      <c r="O17" s="98"/>
      <c r="P17" s="99"/>
      <c r="Q17" s="99"/>
      <c r="R17" s="100"/>
      <c r="S17" s="98"/>
      <c r="T17" s="139">
        <v>43282</v>
      </c>
      <c r="U17" s="81">
        <v>43464</v>
      </c>
      <c r="V17" s="82">
        <f t="shared" si="0"/>
        <v>6</v>
      </c>
      <c r="W17" s="418">
        <v>4.9800000000000004</v>
      </c>
      <c r="X17" s="99">
        <v>0.3</v>
      </c>
      <c r="Y17" s="419">
        <v>0.08</v>
      </c>
      <c r="Z17" s="420"/>
      <c r="AA17" s="83">
        <f t="shared" si="1"/>
        <v>5.6783999999999999</v>
      </c>
      <c r="AB17" s="421">
        <v>1390000</v>
      </c>
      <c r="AC17" s="84">
        <f t="shared" si="2"/>
        <v>47357856</v>
      </c>
      <c r="AD17" s="225"/>
      <c r="AE17" s="99"/>
      <c r="AF17" s="99"/>
      <c r="AG17" s="98"/>
      <c r="AH17" s="99"/>
      <c r="AI17" s="98"/>
      <c r="AJ17" s="113"/>
      <c r="AK17" s="441"/>
      <c r="AL17" s="103"/>
      <c r="AM17" s="103"/>
      <c r="AN17" s="102"/>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row>
    <row r="18" spans="1:255" s="422" customFormat="1" x14ac:dyDescent="0.25">
      <c r="A18" s="116"/>
      <c r="B18" s="96"/>
      <c r="C18" s="439"/>
      <c r="D18" s="98"/>
      <c r="E18" s="98"/>
      <c r="F18" s="440"/>
      <c r="G18" s="212"/>
      <c r="H18" s="100"/>
      <c r="I18" s="98"/>
      <c r="J18" s="99"/>
      <c r="K18" s="98"/>
      <c r="L18" s="141"/>
      <c r="M18" s="98"/>
      <c r="N18" s="141"/>
      <c r="O18" s="98"/>
      <c r="P18" s="99"/>
      <c r="Q18" s="99"/>
      <c r="R18" s="100"/>
      <c r="S18" s="98"/>
      <c r="T18" s="139">
        <v>43466</v>
      </c>
      <c r="U18" s="81">
        <v>43646</v>
      </c>
      <c r="V18" s="82">
        <f t="shared" si="0"/>
        <v>6</v>
      </c>
      <c r="W18" s="418">
        <v>4.9800000000000004</v>
      </c>
      <c r="X18" s="99">
        <v>0.3</v>
      </c>
      <c r="Y18" s="419">
        <v>0.09</v>
      </c>
      <c r="Z18" s="420"/>
      <c r="AA18" s="83">
        <f t="shared" si="1"/>
        <v>5.7282000000000002</v>
      </c>
      <c r="AB18" s="421">
        <v>1390000</v>
      </c>
      <c r="AC18" s="84">
        <f t="shared" si="2"/>
        <v>47773188</v>
      </c>
      <c r="AD18" s="225"/>
      <c r="AE18" s="99"/>
      <c r="AF18" s="99"/>
      <c r="AG18" s="98"/>
      <c r="AH18" s="99"/>
      <c r="AI18" s="98"/>
      <c r="AJ18" s="113"/>
      <c r="AK18" s="441"/>
      <c r="AL18" s="103"/>
      <c r="AM18" s="103"/>
      <c r="AN18" s="102"/>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row>
    <row r="19" spans="1:255" s="422" customFormat="1" x14ac:dyDescent="0.25">
      <c r="A19" s="116"/>
      <c r="B19" s="96"/>
      <c r="C19" s="439"/>
      <c r="D19" s="98"/>
      <c r="E19" s="98"/>
      <c r="F19" s="440"/>
      <c r="G19" s="212"/>
      <c r="H19" s="100"/>
      <c r="I19" s="98"/>
      <c r="J19" s="99"/>
      <c r="K19" s="98"/>
      <c r="L19" s="141"/>
      <c r="M19" s="98"/>
      <c r="N19" s="141"/>
      <c r="O19" s="98"/>
      <c r="P19" s="99"/>
      <c r="Q19" s="99"/>
      <c r="R19" s="100"/>
      <c r="S19" s="98"/>
      <c r="T19" s="139">
        <v>43647</v>
      </c>
      <c r="U19" s="81">
        <v>43829</v>
      </c>
      <c r="V19" s="82">
        <f t="shared" si="0"/>
        <v>6</v>
      </c>
      <c r="W19" s="418">
        <v>4.9800000000000004</v>
      </c>
      <c r="X19" s="99">
        <v>0.5</v>
      </c>
      <c r="Y19" s="419">
        <v>0.09</v>
      </c>
      <c r="Z19" s="420"/>
      <c r="AA19" s="83">
        <f t="shared" si="1"/>
        <v>5.9282000000000004</v>
      </c>
      <c r="AB19" s="421">
        <v>1490000</v>
      </c>
      <c r="AC19" s="84">
        <f t="shared" si="2"/>
        <v>52998108</v>
      </c>
      <c r="AD19" s="225"/>
      <c r="AE19" s="99"/>
      <c r="AF19" s="99"/>
      <c r="AG19" s="98"/>
      <c r="AH19" s="99"/>
      <c r="AI19" s="98"/>
      <c r="AJ19" s="113"/>
      <c r="AK19" s="441"/>
      <c r="AL19" s="103"/>
      <c r="AM19" s="103"/>
      <c r="AN19" s="102"/>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row>
    <row r="20" spans="1:255" s="422" customFormat="1" x14ac:dyDescent="0.25">
      <c r="A20" s="116"/>
      <c r="B20" s="96"/>
      <c r="C20" s="439"/>
      <c r="D20" s="98"/>
      <c r="E20" s="98"/>
      <c r="F20" s="440"/>
      <c r="G20" s="212"/>
      <c r="H20" s="100"/>
      <c r="I20" s="98"/>
      <c r="J20" s="99"/>
      <c r="K20" s="98"/>
      <c r="L20" s="141"/>
      <c r="M20" s="98"/>
      <c r="N20" s="141"/>
      <c r="O20" s="98"/>
      <c r="P20" s="99"/>
      <c r="Q20" s="99"/>
      <c r="R20" s="100"/>
      <c r="S20" s="98"/>
      <c r="T20" s="139">
        <v>43831</v>
      </c>
      <c r="U20" s="81">
        <v>44195</v>
      </c>
      <c r="V20" s="82">
        <f t="shared" si="0"/>
        <v>12</v>
      </c>
      <c r="W20" s="418">
        <v>4.9800000000000004</v>
      </c>
      <c r="X20" s="99">
        <v>0.5</v>
      </c>
      <c r="Y20" s="419">
        <v>0.1</v>
      </c>
      <c r="Z20" s="420"/>
      <c r="AA20" s="83">
        <f t="shared" si="1"/>
        <v>5.9780000000000006</v>
      </c>
      <c r="AB20" s="421">
        <v>1490000</v>
      </c>
      <c r="AC20" s="84">
        <f t="shared" si="2"/>
        <v>106886640</v>
      </c>
      <c r="AD20" s="225"/>
      <c r="AE20" s="99"/>
      <c r="AF20" s="99"/>
      <c r="AG20" s="98"/>
      <c r="AH20" s="99"/>
      <c r="AI20" s="98"/>
      <c r="AJ20" s="113"/>
      <c r="AK20" s="441"/>
      <c r="AL20" s="103"/>
      <c r="AM20" s="103"/>
      <c r="AN20" s="102"/>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row>
    <row r="21" spans="1:255" s="422" customFormat="1" x14ac:dyDescent="0.25">
      <c r="A21" s="116"/>
      <c r="B21" s="96"/>
      <c r="C21" s="439"/>
      <c r="D21" s="98"/>
      <c r="E21" s="98"/>
      <c r="F21" s="440"/>
      <c r="G21" s="212"/>
      <c r="H21" s="100"/>
      <c r="I21" s="98"/>
      <c r="J21" s="99"/>
      <c r="K21" s="98"/>
      <c r="L21" s="141"/>
      <c r="M21" s="98"/>
      <c r="N21" s="141"/>
      <c r="O21" s="98"/>
      <c r="P21" s="99"/>
      <c r="Q21" s="99"/>
      <c r="R21" s="100"/>
      <c r="S21" s="98"/>
      <c r="T21" s="139">
        <v>44197</v>
      </c>
      <c r="U21" s="81">
        <v>44560</v>
      </c>
      <c r="V21" s="82">
        <f t="shared" si="0"/>
        <v>12</v>
      </c>
      <c r="W21" s="418">
        <v>4.9800000000000004</v>
      </c>
      <c r="X21" s="99">
        <v>0.5</v>
      </c>
      <c r="Y21" s="419">
        <v>0.11</v>
      </c>
      <c r="Z21" s="420"/>
      <c r="AA21" s="83">
        <f t="shared" si="1"/>
        <v>6.0278000000000009</v>
      </c>
      <c r="AB21" s="421">
        <v>1490000</v>
      </c>
      <c r="AC21" s="84">
        <f t="shared" si="2"/>
        <v>107777064.00000003</v>
      </c>
      <c r="AD21" s="225"/>
      <c r="AE21" s="99"/>
      <c r="AF21" s="99"/>
      <c r="AG21" s="98"/>
      <c r="AH21" s="99"/>
      <c r="AI21" s="98"/>
      <c r="AJ21" s="113"/>
      <c r="AK21" s="441"/>
      <c r="AL21" s="103"/>
      <c r="AM21" s="103"/>
      <c r="AN21" s="102"/>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row>
    <row r="22" spans="1:255" s="422" customFormat="1" x14ac:dyDescent="0.25">
      <c r="A22" s="116"/>
      <c r="B22" s="96"/>
      <c r="C22" s="439"/>
      <c r="D22" s="98"/>
      <c r="E22" s="98"/>
      <c r="F22" s="440"/>
      <c r="G22" s="212"/>
      <c r="H22" s="100"/>
      <c r="I22" s="98"/>
      <c r="J22" s="99"/>
      <c r="K22" s="98"/>
      <c r="L22" s="141"/>
      <c r="M22" s="98"/>
      <c r="N22" s="141"/>
      <c r="O22" s="98"/>
      <c r="P22" s="99"/>
      <c r="Q22" s="99"/>
      <c r="R22" s="100"/>
      <c r="S22" s="98"/>
      <c r="T22" s="139">
        <v>44562</v>
      </c>
      <c r="U22" s="81">
        <v>44956</v>
      </c>
      <c r="V22" s="82">
        <f t="shared" si="0"/>
        <v>13</v>
      </c>
      <c r="W22" s="418">
        <v>4.9800000000000004</v>
      </c>
      <c r="X22" s="99">
        <v>0.5</v>
      </c>
      <c r="Y22" s="419">
        <v>0.12</v>
      </c>
      <c r="Z22" s="420"/>
      <c r="AA22" s="83">
        <f t="shared" si="1"/>
        <v>6.0776000000000003</v>
      </c>
      <c r="AB22" s="421">
        <v>1490000</v>
      </c>
      <c r="AC22" s="84">
        <f t="shared" si="2"/>
        <v>117723112.00000001</v>
      </c>
      <c r="AD22" s="225"/>
      <c r="AE22" s="99"/>
      <c r="AF22" s="99"/>
      <c r="AG22" s="98"/>
      <c r="AH22" s="99"/>
      <c r="AI22" s="98"/>
      <c r="AJ22" s="113"/>
      <c r="AK22" s="441"/>
      <c r="AL22" s="103"/>
      <c r="AM22" s="103"/>
      <c r="AN22" s="10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row>
    <row r="23" spans="1:255" s="422" customFormat="1" x14ac:dyDescent="0.25">
      <c r="A23" s="116"/>
      <c r="B23" s="96"/>
      <c r="C23" s="439"/>
      <c r="D23" s="98"/>
      <c r="E23" s="98"/>
      <c r="F23" s="440"/>
      <c r="G23" s="212"/>
      <c r="H23" s="100"/>
      <c r="I23" s="98"/>
      <c r="J23" s="99"/>
      <c r="K23" s="98"/>
      <c r="L23" s="141"/>
      <c r="M23" s="98"/>
      <c r="N23" s="141"/>
      <c r="O23" s="98"/>
      <c r="P23" s="99"/>
      <c r="Q23" s="99"/>
      <c r="R23" s="100"/>
      <c r="S23" s="98"/>
      <c r="T23" s="139"/>
      <c r="U23" s="139"/>
      <c r="V23" s="442">
        <f>SUM(V16:V22)</f>
        <v>67</v>
      </c>
      <c r="W23" s="443"/>
      <c r="X23" s="444"/>
      <c r="Y23" s="445"/>
      <c r="Z23" s="446"/>
      <c r="AA23" s="447"/>
      <c r="AB23" s="448"/>
      <c r="AC23" s="449">
        <f>SUM(AC16:AC22)</f>
        <v>569099008</v>
      </c>
      <c r="AD23" s="450"/>
      <c r="AE23" s="99"/>
      <c r="AF23" s="99"/>
      <c r="AG23" s="98"/>
      <c r="AH23" s="99"/>
      <c r="AI23" s="98"/>
      <c r="AJ23" s="113"/>
      <c r="AK23" s="441"/>
      <c r="AL23" s="103"/>
      <c r="AM23" s="103"/>
      <c r="AN23" s="102"/>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row>
    <row r="24" spans="1:255" x14ac:dyDescent="0.25">
      <c r="B24" s="116"/>
      <c r="AO24" s="436"/>
      <c r="AP24" s="436"/>
      <c r="AQ24" s="436"/>
      <c r="AR24" s="436"/>
      <c r="AS24" s="436"/>
      <c r="AT24" s="436"/>
      <c r="AU24" s="436"/>
      <c r="AV24" s="436"/>
      <c r="AW24" s="436"/>
      <c r="AX24" s="436"/>
      <c r="AY24" s="436"/>
      <c r="AZ24" s="436"/>
      <c r="BA24" s="436"/>
      <c r="BB24" s="436"/>
      <c r="BC24" s="436"/>
      <c r="BD24" s="436"/>
      <c r="BE24" s="436"/>
      <c r="BF24" s="436"/>
      <c r="BG24" s="436"/>
      <c r="BH24" s="436"/>
      <c r="BI24" s="436"/>
      <c r="BJ24" s="436"/>
      <c r="BK24" s="436"/>
      <c r="BL24" s="436"/>
      <c r="BM24" s="436"/>
      <c r="BN24" s="436"/>
      <c r="BO24" s="436"/>
      <c r="BP24" s="436"/>
      <c r="BQ24" s="436"/>
      <c r="BR24" s="436"/>
      <c r="BS24" s="436"/>
      <c r="BT24" s="436"/>
      <c r="BU24" s="436"/>
      <c r="BV24" s="436"/>
      <c r="BW24" s="436"/>
      <c r="BX24" s="436"/>
      <c r="BY24" s="436"/>
      <c r="BZ24" s="436"/>
      <c r="CA24" s="436"/>
      <c r="CB24" s="436"/>
      <c r="CC24" s="436"/>
      <c r="CD24" s="436"/>
      <c r="CE24" s="436"/>
      <c r="CF24" s="436"/>
      <c r="CG24" s="436"/>
      <c r="CH24" s="436"/>
      <c r="CI24" s="436"/>
      <c r="CJ24" s="436"/>
      <c r="CK24" s="436"/>
      <c r="CL24" s="436"/>
      <c r="CM24" s="436"/>
      <c r="CN24" s="436"/>
      <c r="CO24" s="436"/>
      <c r="CP24" s="436"/>
      <c r="CQ24" s="436"/>
      <c r="CR24" s="436"/>
      <c r="CS24" s="436"/>
      <c r="CT24" s="436"/>
      <c r="CU24" s="436"/>
      <c r="CV24" s="436"/>
      <c r="CW24" s="436"/>
      <c r="CX24" s="436"/>
      <c r="CY24" s="436"/>
      <c r="CZ24" s="436"/>
      <c r="DA24" s="436"/>
      <c r="DB24" s="436"/>
      <c r="DC24" s="436"/>
      <c r="DD24" s="436"/>
      <c r="DE24" s="436"/>
      <c r="DF24" s="436"/>
      <c r="DG24" s="436"/>
      <c r="DH24" s="436"/>
      <c r="DI24" s="436"/>
      <c r="DJ24" s="436"/>
      <c r="DK24" s="436"/>
      <c r="DL24" s="436"/>
      <c r="DM24" s="436"/>
      <c r="DN24" s="436"/>
      <c r="DO24" s="436"/>
      <c r="DP24" s="436"/>
      <c r="DQ24" s="436"/>
      <c r="DR24" s="436"/>
      <c r="DS24" s="436"/>
      <c r="DT24" s="436"/>
      <c r="DU24" s="436"/>
      <c r="DV24" s="436"/>
      <c r="DW24" s="436"/>
      <c r="DX24" s="436"/>
      <c r="DY24" s="436"/>
      <c r="DZ24" s="436"/>
      <c r="EA24" s="436"/>
      <c r="EB24" s="436"/>
      <c r="EC24" s="436"/>
      <c r="ED24" s="436"/>
      <c r="EE24" s="436"/>
      <c r="EF24" s="436"/>
      <c r="EG24" s="436"/>
      <c r="EH24" s="436"/>
      <c r="EI24" s="436"/>
      <c r="EJ24" s="436"/>
      <c r="EK24" s="436"/>
      <c r="EL24" s="436"/>
      <c r="EM24" s="436"/>
      <c r="EN24" s="436"/>
      <c r="EO24" s="436"/>
      <c r="EP24" s="436"/>
      <c r="EQ24" s="436"/>
      <c r="ER24" s="436"/>
      <c r="ES24" s="436"/>
      <c r="ET24" s="436"/>
      <c r="EU24" s="436"/>
      <c r="EV24" s="436"/>
      <c r="EW24" s="436"/>
      <c r="EX24" s="436"/>
      <c r="EY24" s="436"/>
      <c r="EZ24" s="436"/>
      <c r="FA24" s="436"/>
      <c r="FB24" s="436"/>
      <c r="FC24" s="436"/>
      <c r="FD24" s="436"/>
      <c r="FE24" s="436"/>
      <c r="FF24" s="436"/>
      <c r="FG24" s="436"/>
      <c r="FH24" s="436"/>
      <c r="FI24" s="436"/>
      <c r="FJ24" s="436"/>
      <c r="FK24" s="436"/>
      <c r="FL24" s="436"/>
      <c r="FM24" s="436"/>
      <c r="FN24" s="436"/>
      <c r="FO24" s="436"/>
      <c r="FP24" s="436"/>
      <c r="FQ24" s="436"/>
      <c r="FR24" s="436"/>
      <c r="FS24" s="436"/>
      <c r="FT24" s="436"/>
      <c r="FU24" s="436"/>
      <c r="FV24" s="436"/>
      <c r="FW24" s="436"/>
      <c r="FX24" s="436"/>
      <c r="FY24" s="436"/>
      <c r="FZ24" s="436"/>
      <c r="GA24" s="436"/>
      <c r="GB24" s="436"/>
      <c r="GC24" s="436"/>
      <c r="GD24" s="436"/>
      <c r="GE24" s="436"/>
      <c r="GF24" s="436"/>
      <c r="GG24" s="436"/>
      <c r="GH24" s="436"/>
      <c r="GI24" s="436"/>
      <c r="GJ24" s="436"/>
      <c r="GK24" s="436"/>
      <c r="GL24" s="436"/>
      <c r="GM24" s="436"/>
      <c r="GN24" s="436"/>
      <c r="GO24" s="436"/>
      <c r="GP24" s="436"/>
      <c r="GQ24" s="436"/>
      <c r="GR24" s="436"/>
      <c r="GS24" s="436"/>
      <c r="GT24" s="436"/>
      <c r="GU24" s="436"/>
      <c r="GV24" s="436"/>
      <c r="GW24" s="436"/>
      <c r="GX24" s="436"/>
      <c r="GY24" s="436"/>
      <c r="GZ24" s="436"/>
      <c r="HA24" s="436"/>
      <c r="HB24" s="436"/>
      <c r="HC24" s="436"/>
      <c r="HD24" s="436"/>
      <c r="HE24" s="436"/>
      <c r="HF24" s="436"/>
      <c r="HG24" s="436"/>
      <c r="HH24" s="436"/>
      <c r="HI24" s="436"/>
      <c r="HJ24" s="436"/>
      <c r="HK24" s="436"/>
      <c r="HL24" s="436"/>
      <c r="HM24" s="436"/>
      <c r="HN24" s="436"/>
      <c r="HO24" s="436"/>
      <c r="HP24" s="436"/>
      <c r="HQ24" s="436"/>
      <c r="HR24" s="436"/>
      <c r="HS24" s="436"/>
      <c r="HT24" s="436"/>
      <c r="HU24" s="436"/>
      <c r="HV24" s="436"/>
      <c r="HW24" s="436"/>
      <c r="HX24" s="436"/>
      <c r="HY24" s="436"/>
      <c r="HZ24" s="436"/>
      <c r="IA24" s="436"/>
      <c r="IB24" s="436"/>
      <c r="IC24" s="436"/>
      <c r="ID24" s="436"/>
      <c r="IE24" s="436"/>
      <c r="IF24" s="436"/>
      <c r="IG24" s="436"/>
      <c r="IH24" s="436"/>
      <c r="II24" s="436"/>
      <c r="IJ24" s="436"/>
      <c r="IK24" s="436"/>
      <c r="IL24" s="436"/>
      <c r="IM24" s="436"/>
      <c r="IN24" s="436"/>
      <c r="IO24" s="436"/>
      <c r="IP24" s="436"/>
      <c r="IQ24" s="436"/>
      <c r="IR24" s="436"/>
      <c r="IS24" s="436"/>
      <c r="IT24" s="436"/>
      <c r="IU24" s="436"/>
    </row>
    <row r="25" spans="1:255" x14ac:dyDescent="0.25">
      <c r="B25" s="116"/>
      <c r="AP25" s="436"/>
      <c r="AQ25" s="436"/>
      <c r="AR25" s="436"/>
      <c r="AS25" s="436"/>
      <c r="AT25" s="436"/>
      <c r="AU25" s="436"/>
      <c r="AV25" s="436"/>
      <c r="AW25" s="436"/>
      <c r="AX25" s="436"/>
      <c r="AY25" s="436"/>
      <c r="AZ25" s="436"/>
      <c r="BA25" s="436"/>
      <c r="BB25" s="436"/>
      <c r="BC25" s="436"/>
      <c r="BD25" s="436"/>
      <c r="BE25" s="436"/>
      <c r="BF25" s="436"/>
      <c r="BG25" s="436"/>
      <c r="BH25" s="436"/>
      <c r="BI25" s="436"/>
      <c r="BJ25" s="436"/>
      <c r="BK25" s="436"/>
      <c r="BL25" s="436"/>
      <c r="BM25" s="436"/>
      <c r="BN25" s="436"/>
      <c r="BO25" s="436"/>
      <c r="BP25" s="436"/>
      <c r="BQ25" s="436"/>
      <c r="BR25" s="436"/>
      <c r="BS25" s="436"/>
      <c r="BT25" s="436"/>
      <c r="BU25" s="436"/>
      <c r="BV25" s="436"/>
      <c r="BW25" s="436"/>
      <c r="BX25" s="436"/>
      <c r="BY25" s="436"/>
      <c r="BZ25" s="436"/>
      <c r="CA25" s="436"/>
      <c r="CB25" s="436"/>
      <c r="CC25" s="436"/>
      <c r="CD25" s="436"/>
      <c r="CE25" s="436"/>
      <c r="CF25" s="436"/>
      <c r="CG25" s="436"/>
      <c r="CH25" s="436"/>
      <c r="CI25" s="436"/>
      <c r="CJ25" s="436"/>
      <c r="CK25" s="436"/>
      <c r="CL25" s="436"/>
      <c r="CM25" s="436"/>
      <c r="CN25" s="436"/>
      <c r="CO25" s="436"/>
      <c r="CP25" s="436"/>
      <c r="CQ25" s="436"/>
      <c r="CR25" s="436"/>
      <c r="CS25" s="436"/>
      <c r="CT25" s="436"/>
      <c r="CU25" s="436"/>
      <c r="CV25" s="436"/>
      <c r="CW25" s="436"/>
      <c r="CX25" s="436"/>
      <c r="CY25" s="436"/>
      <c r="CZ25" s="436"/>
      <c r="DA25" s="436"/>
      <c r="DB25" s="436"/>
      <c r="DC25" s="436"/>
      <c r="DD25" s="436"/>
      <c r="DE25" s="436"/>
      <c r="DF25" s="436"/>
      <c r="DG25" s="436"/>
      <c r="DH25" s="436"/>
      <c r="DI25" s="436"/>
      <c r="DJ25" s="436"/>
      <c r="DK25" s="436"/>
      <c r="DL25" s="436"/>
      <c r="DM25" s="436"/>
      <c r="DN25" s="436"/>
      <c r="DO25" s="436"/>
      <c r="DP25" s="436"/>
      <c r="DQ25" s="436"/>
      <c r="DR25" s="436"/>
      <c r="DS25" s="436"/>
      <c r="DT25" s="436"/>
      <c r="DU25" s="436"/>
      <c r="DV25" s="436"/>
      <c r="DW25" s="436"/>
      <c r="DX25" s="436"/>
      <c r="DY25" s="436"/>
      <c r="DZ25" s="436"/>
      <c r="EA25" s="436"/>
      <c r="EB25" s="436"/>
      <c r="EC25" s="436"/>
      <c r="ED25" s="436"/>
      <c r="EE25" s="436"/>
      <c r="EF25" s="436"/>
      <c r="EG25" s="436"/>
      <c r="EH25" s="436"/>
      <c r="EI25" s="436"/>
      <c r="EJ25" s="436"/>
      <c r="EK25" s="436"/>
      <c r="EL25" s="436"/>
      <c r="EM25" s="436"/>
      <c r="EN25" s="436"/>
      <c r="EO25" s="436"/>
      <c r="EP25" s="436"/>
      <c r="EQ25" s="436"/>
      <c r="ER25" s="436"/>
      <c r="ES25" s="436"/>
      <c r="ET25" s="436"/>
      <c r="EU25" s="436"/>
      <c r="EV25" s="436"/>
      <c r="EW25" s="436"/>
      <c r="EX25" s="436"/>
      <c r="EY25" s="436"/>
      <c r="EZ25" s="436"/>
      <c r="FA25" s="436"/>
      <c r="FB25" s="436"/>
      <c r="FC25" s="436"/>
      <c r="FD25" s="436"/>
      <c r="FE25" s="436"/>
      <c r="FF25" s="436"/>
      <c r="FG25" s="436"/>
      <c r="FH25" s="436"/>
      <c r="FI25" s="436"/>
      <c r="FJ25" s="436"/>
      <c r="FK25" s="436"/>
      <c r="FL25" s="436"/>
      <c r="FM25" s="436"/>
      <c r="FN25" s="436"/>
      <c r="FO25" s="436"/>
      <c r="FP25" s="436"/>
      <c r="FQ25" s="436"/>
      <c r="FR25" s="436"/>
      <c r="FS25" s="436"/>
      <c r="FT25" s="436"/>
      <c r="FU25" s="436"/>
      <c r="FV25" s="436"/>
      <c r="FW25" s="436"/>
      <c r="FX25" s="436"/>
      <c r="FY25" s="436"/>
      <c r="FZ25" s="436"/>
      <c r="GA25" s="436"/>
      <c r="GB25" s="436"/>
      <c r="GC25" s="436"/>
      <c r="GD25" s="436"/>
      <c r="GE25" s="436"/>
      <c r="GF25" s="436"/>
      <c r="GG25" s="436"/>
      <c r="GH25" s="436"/>
      <c r="GI25" s="436"/>
      <c r="GJ25" s="436"/>
      <c r="GK25" s="436"/>
      <c r="GL25" s="436"/>
      <c r="GM25" s="436"/>
      <c r="GN25" s="436"/>
      <c r="GO25" s="436"/>
      <c r="GP25" s="436"/>
      <c r="GQ25" s="436"/>
      <c r="GR25" s="436"/>
      <c r="GS25" s="436"/>
      <c r="GT25" s="436"/>
      <c r="GU25" s="436"/>
      <c r="GV25" s="436"/>
      <c r="GW25" s="436"/>
      <c r="GX25" s="436"/>
      <c r="GY25" s="436"/>
      <c r="GZ25" s="436"/>
      <c r="HA25" s="436"/>
      <c r="HB25" s="436"/>
      <c r="HC25" s="436"/>
      <c r="HD25" s="436"/>
      <c r="HE25" s="436"/>
      <c r="HF25" s="436"/>
      <c r="HG25" s="436"/>
      <c r="HH25" s="436"/>
      <c r="HI25" s="436"/>
      <c r="HJ25" s="436"/>
      <c r="HK25" s="436"/>
      <c r="HL25" s="436"/>
      <c r="HM25" s="436"/>
      <c r="HN25" s="436"/>
      <c r="HO25" s="436"/>
      <c r="HP25" s="436"/>
      <c r="HQ25" s="436"/>
      <c r="HR25" s="436"/>
      <c r="HS25" s="436"/>
      <c r="HT25" s="436"/>
      <c r="HU25" s="436"/>
      <c r="HV25" s="436"/>
      <c r="HW25" s="436"/>
      <c r="HX25" s="436"/>
      <c r="HY25" s="436"/>
      <c r="HZ25" s="436"/>
      <c r="IA25" s="436"/>
      <c r="IB25" s="436"/>
      <c r="IC25" s="436"/>
      <c r="ID25" s="436"/>
      <c r="IE25" s="436"/>
      <c r="IF25" s="436"/>
      <c r="IG25" s="436"/>
      <c r="IH25" s="436"/>
      <c r="II25" s="436"/>
      <c r="IJ25" s="436"/>
      <c r="IK25" s="436"/>
      <c r="IL25" s="436"/>
      <c r="IM25" s="436"/>
      <c r="IN25" s="436"/>
      <c r="IO25" s="436"/>
      <c r="IP25" s="436"/>
      <c r="IQ25" s="436"/>
      <c r="IR25" s="436"/>
      <c r="IS25" s="436"/>
      <c r="IT25" s="436"/>
      <c r="IU25" s="436"/>
    </row>
    <row r="26" spans="1:255" x14ac:dyDescent="0.25">
      <c r="AP26" s="436"/>
      <c r="AQ26" s="436"/>
      <c r="AR26" s="436"/>
      <c r="AS26" s="436"/>
      <c r="AT26" s="436"/>
      <c r="AU26" s="436"/>
      <c r="AV26" s="436"/>
      <c r="AW26" s="436"/>
      <c r="AX26" s="436"/>
      <c r="AY26" s="436"/>
      <c r="AZ26" s="436"/>
      <c r="BA26" s="436"/>
      <c r="BB26" s="436"/>
      <c r="BC26" s="436"/>
      <c r="BD26" s="436"/>
      <c r="BE26" s="436"/>
      <c r="BF26" s="436"/>
      <c r="BG26" s="436"/>
      <c r="BH26" s="436"/>
      <c r="BI26" s="436"/>
      <c r="BJ26" s="436"/>
      <c r="BK26" s="436"/>
      <c r="BL26" s="436"/>
      <c r="BM26" s="436"/>
      <c r="BN26" s="436"/>
      <c r="BO26" s="436"/>
      <c r="BP26" s="436"/>
      <c r="BQ26" s="436"/>
      <c r="BR26" s="436"/>
      <c r="BS26" s="436"/>
      <c r="BT26" s="436"/>
      <c r="BU26" s="436"/>
      <c r="BV26" s="436"/>
      <c r="BW26" s="436"/>
      <c r="BX26" s="436"/>
      <c r="BY26" s="436"/>
      <c r="BZ26" s="436"/>
      <c r="CA26" s="436"/>
      <c r="CB26" s="436"/>
      <c r="CC26" s="436"/>
      <c r="CD26" s="436"/>
      <c r="CE26" s="436"/>
      <c r="CF26" s="436"/>
      <c r="CG26" s="436"/>
      <c r="CH26" s="436"/>
      <c r="CI26" s="436"/>
      <c r="CJ26" s="436"/>
      <c r="CK26" s="436"/>
      <c r="CL26" s="436"/>
      <c r="CM26" s="436"/>
      <c r="CN26" s="436"/>
      <c r="CO26" s="436"/>
      <c r="CP26" s="436"/>
      <c r="CQ26" s="436"/>
      <c r="CR26" s="436"/>
      <c r="CS26" s="436"/>
      <c r="CT26" s="436"/>
      <c r="CU26" s="436"/>
      <c r="CV26" s="436"/>
      <c r="CW26" s="436"/>
      <c r="CX26" s="436"/>
      <c r="CY26" s="436"/>
      <c r="CZ26" s="436"/>
      <c r="DA26" s="436"/>
      <c r="DB26" s="436"/>
      <c r="DC26" s="436"/>
      <c r="DD26" s="436"/>
      <c r="DE26" s="436"/>
      <c r="DF26" s="436"/>
      <c r="DG26" s="436"/>
      <c r="DH26" s="436"/>
      <c r="DI26" s="436"/>
      <c r="DJ26" s="436"/>
      <c r="DK26" s="436"/>
      <c r="DL26" s="436"/>
      <c r="DM26" s="436"/>
      <c r="DN26" s="436"/>
      <c r="DO26" s="436"/>
      <c r="DP26" s="436"/>
      <c r="DQ26" s="436"/>
      <c r="DR26" s="436"/>
      <c r="DS26" s="436"/>
      <c r="DT26" s="436"/>
      <c r="DU26" s="436"/>
      <c r="DV26" s="436"/>
      <c r="DW26" s="436"/>
      <c r="DX26" s="436"/>
      <c r="DY26" s="436"/>
      <c r="DZ26" s="436"/>
      <c r="EA26" s="436"/>
      <c r="EB26" s="436"/>
      <c r="EC26" s="436"/>
      <c r="ED26" s="436"/>
      <c r="EE26" s="436"/>
      <c r="EF26" s="436"/>
      <c r="EG26" s="436"/>
      <c r="EH26" s="436"/>
      <c r="EI26" s="436"/>
      <c r="EJ26" s="436"/>
      <c r="EK26" s="436"/>
      <c r="EL26" s="436"/>
      <c r="EM26" s="436"/>
      <c r="EN26" s="436"/>
      <c r="EO26" s="436"/>
      <c r="EP26" s="436"/>
      <c r="EQ26" s="436"/>
      <c r="ER26" s="436"/>
      <c r="ES26" s="436"/>
      <c r="ET26" s="436"/>
      <c r="EU26" s="436"/>
      <c r="EV26" s="436"/>
      <c r="EW26" s="436"/>
      <c r="EX26" s="436"/>
      <c r="EY26" s="436"/>
      <c r="EZ26" s="436"/>
      <c r="FA26" s="436"/>
      <c r="FB26" s="436"/>
      <c r="FC26" s="436"/>
      <c r="FD26" s="436"/>
      <c r="FE26" s="436"/>
      <c r="FF26" s="436"/>
      <c r="FG26" s="436"/>
      <c r="FH26" s="436"/>
      <c r="FI26" s="436"/>
      <c r="FJ26" s="436"/>
      <c r="FK26" s="436"/>
      <c r="FL26" s="436"/>
      <c r="FM26" s="436"/>
      <c r="FN26" s="436"/>
      <c r="FO26" s="436"/>
      <c r="FP26" s="436"/>
      <c r="FQ26" s="436"/>
      <c r="FR26" s="436"/>
      <c r="FS26" s="436"/>
      <c r="FT26" s="436"/>
      <c r="FU26" s="436"/>
      <c r="FV26" s="436"/>
      <c r="FW26" s="436"/>
      <c r="FX26" s="436"/>
      <c r="FY26" s="436"/>
      <c r="FZ26" s="436"/>
      <c r="GA26" s="436"/>
      <c r="GB26" s="436"/>
      <c r="GC26" s="436"/>
      <c r="GD26" s="436"/>
      <c r="GE26" s="436"/>
      <c r="GF26" s="436"/>
      <c r="GG26" s="436"/>
      <c r="GH26" s="436"/>
      <c r="GI26" s="436"/>
      <c r="GJ26" s="436"/>
      <c r="GK26" s="436"/>
      <c r="GL26" s="436"/>
      <c r="GM26" s="436"/>
      <c r="GN26" s="436"/>
      <c r="GO26" s="436"/>
      <c r="GP26" s="436"/>
      <c r="GQ26" s="436"/>
      <c r="GR26" s="436"/>
      <c r="GS26" s="436"/>
      <c r="GT26" s="436"/>
      <c r="GU26" s="436"/>
      <c r="GV26" s="436"/>
      <c r="GW26" s="436"/>
      <c r="GX26" s="436"/>
      <c r="GY26" s="436"/>
      <c r="GZ26" s="436"/>
      <c r="HA26" s="436"/>
      <c r="HB26" s="436"/>
      <c r="HC26" s="436"/>
      <c r="HD26" s="436"/>
      <c r="HE26" s="436"/>
      <c r="HF26" s="436"/>
      <c r="HG26" s="436"/>
      <c r="HH26" s="436"/>
      <c r="HI26" s="436"/>
      <c r="HJ26" s="436"/>
      <c r="HK26" s="436"/>
      <c r="HL26" s="436"/>
      <c r="HM26" s="436"/>
      <c r="HN26" s="436"/>
      <c r="HO26" s="436"/>
      <c r="HP26" s="436"/>
      <c r="HQ26" s="436"/>
      <c r="HR26" s="436"/>
      <c r="HS26" s="436"/>
      <c r="HT26" s="436"/>
      <c r="HU26" s="436"/>
      <c r="HV26" s="436"/>
      <c r="HW26" s="436"/>
      <c r="HX26" s="436"/>
      <c r="HY26" s="436"/>
      <c r="HZ26" s="436"/>
      <c r="IA26" s="436"/>
      <c r="IB26" s="436"/>
      <c r="IC26" s="436"/>
      <c r="ID26" s="436"/>
      <c r="IE26" s="436"/>
      <c r="IF26" s="436"/>
      <c r="IG26" s="436"/>
      <c r="IH26" s="436"/>
      <c r="II26" s="436"/>
      <c r="IJ26" s="436"/>
      <c r="IK26" s="436"/>
      <c r="IL26" s="436"/>
      <c r="IM26" s="436"/>
      <c r="IN26" s="436"/>
      <c r="IO26" s="436"/>
      <c r="IP26" s="436"/>
      <c r="IQ26" s="436"/>
      <c r="IR26" s="436"/>
      <c r="IS26" s="436"/>
      <c r="IT26" s="436"/>
      <c r="IU26" s="436"/>
    </row>
  </sheetData>
  <autoFilter ref="A14:A15" xr:uid="{00000000-0009-0000-0000-000006000000}"/>
  <mergeCells count="36">
    <mergeCell ref="B8:AN8"/>
    <mergeCell ref="B1:D1"/>
    <mergeCell ref="AK1:AN1"/>
    <mergeCell ref="B2:D2"/>
    <mergeCell ref="AF2:AN2"/>
    <mergeCell ref="B3:D3"/>
    <mergeCell ref="AF3:AN3"/>
    <mergeCell ref="B4:D4"/>
    <mergeCell ref="AF4:AN4"/>
    <mergeCell ref="B5:D5"/>
    <mergeCell ref="AF5:AN5"/>
    <mergeCell ref="B7:AN7"/>
    <mergeCell ref="R13:S13"/>
    <mergeCell ref="B9:AN9"/>
    <mergeCell ref="B10:AN10"/>
    <mergeCell ref="B11:AN11"/>
    <mergeCell ref="B12:AN12"/>
    <mergeCell ref="B13:B14"/>
    <mergeCell ref="C13:C14"/>
    <mergeCell ref="D13:D14"/>
    <mergeCell ref="E13:E14"/>
    <mergeCell ref="F13:F14"/>
    <mergeCell ref="G13:G14"/>
    <mergeCell ref="H13:I13"/>
    <mergeCell ref="J13:K13"/>
    <mergeCell ref="L13:M13"/>
    <mergeCell ref="N13:O13"/>
    <mergeCell ref="P13:Q13"/>
    <mergeCell ref="AJ13:AJ14"/>
    <mergeCell ref="AK13:AN13"/>
    <mergeCell ref="T13:AC13"/>
    <mergeCell ref="AD13:AD14"/>
    <mergeCell ref="AE13:AF13"/>
    <mergeCell ref="AG13:AG14"/>
    <mergeCell ref="AH13:AH14"/>
    <mergeCell ref="AI13:AI14"/>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V55"/>
  <sheetViews>
    <sheetView topLeftCell="A25" workbookViewId="0">
      <selection activeCell="AD32" sqref="AD32:AE32"/>
    </sheetView>
  </sheetViews>
  <sheetFormatPr defaultRowHeight="15" x14ac:dyDescent="0.25"/>
  <cols>
    <col min="1" max="1" width="6.85546875" style="116" bestFit="1" customWidth="1"/>
    <col min="2" max="2" width="3.42578125" customWidth="1"/>
    <col min="3" max="3" width="15.7109375" customWidth="1"/>
    <col min="6" max="6" width="4.28515625" customWidth="1"/>
    <col min="7" max="7" width="17.7109375" customWidth="1"/>
    <col min="8" max="8" width="3.28515625" customWidth="1"/>
    <col min="9" max="9" width="9.42578125" customWidth="1"/>
    <col min="10" max="10" width="4.140625" customWidth="1"/>
    <col min="11" max="11" width="9" customWidth="1"/>
    <col min="12" max="12" width="3.42578125" customWidth="1"/>
    <col min="13" max="13" width="9.5703125" customWidth="1"/>
    <col min="14" max="14" width="3.7109375" customWidth="1"/>
    <col min="15" max="15" width="9" customWidth="1"/>
    <col min="16" max="16" width="3.85546875" customWidth="1"/>
    <col min="17" max="17" width="7.140625" customWidth="1"/>
    <col min="18" max="18" width="3.42578125" customWidth="1"/>
    <col min="19" max="19" width="10.42578125" customWidth="1"/>
    <col min="20" max="21" width="7.5703125" customWidth="1"/>
    <col min="22" max="22" width="4.85546875" customWidth="1"/>
    <col min="23" max="23" width="5.85546875" customWidth="1"/>
    <col min="24" max="24" width="4" customWidth="1"/>
    <col min="25" max="25" width="4.28515625" customWidth="1"/>
    <col min="26" max="27" width="3.42578125" customWidth="1"/>
    <col min="28" max="28" width="7.140625" customWidth="1"/>
    <col min="29" max="29" width="8.5703125" customWidth="1"/>
    <col min="30" max="30" width="11.7109375" customWidth="1"/>
    <col min="31" max="31" width="8.7109375" customWidth="1"/>
    <col min="32" max="32" width="4.7109375" customWidth="1"/>
    <col min="33" max="33" width="9.28515625" customWidth="1"/>
    <col min="34" max="35" width="8.5703125" customWidth="1"/>
    <col min="36" max="36" width="7.140625" customWidth="1"/>
    <col min="37" max="37" width="11.7109375" style="187" customWidth="1"/>
    <col min="38" max="38" width="9.28515625" customWidth="1"/>
    <col min="39" max="39" width="10" customWidth="1"/>
    <col min="40" max="40" width="15.85546875" bestFit="1" customWidth="1"/>
  </cols>
  <sheetData>
    <row r="1" spans="1:40" ht="12" customHeight="1" x14ac:dyDescent="0.25">
      <c r="B1" s="666"/>
      <c r="C1" s="666"/>
      <c r="D1" s="666"/>
      <c r="E1" s="666"/>
      <c r="F1" s="666"/>
      <c r="G1" s="136"/>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667" t="s">
        <v>238</v>
      </c>
      <c r="AL1" s="667"/>
      <c r="AM1" s="667"/>
    </row>
    <row r="2" spans="1:40" x14ac:dyDescent="0.25">
      <c r="A2" s="269"/>
      <c r="B2" s="690" t="s">
        <v>232</v>
      </c>
      <c r="C2" s="690"/>
      <c r="D2" s="690"/>
      <c r="E2" s="690"/>
      <c r="F2" s="690"/>
      <c r="G2" s="270"/>
      <c r="H2" s="271"/>
      <c r="I2" s="271"/>
      <c r="J2" s="271"/>
      <c r="K2" s="271"/>
      <c r="L2" s="271"/>
      <c r="M2" s="271"/>
      <c r="N2" s="271"/>
      <c r="O2" s="271"/>
      <c r="P2" s="271"/>
      <c r="Q2" s="271"/>
      <c r="R2" s="271"/>
      <c r="S2" s="271"/>
      <c r="T2" s="271"/>
      <c r="U2" s="271"/>
      <c r="V2" s="271"/>
      <c r="W2" s="271"/>
      <c r="X2" s="271"/>
      <c r="Y2" s="271"/>
      <c r="Z2" s="271"/>
      <c r="AA2" s="271"/>
      <c r="AB2" s="271"/>
      <c r="AC2" s="271"/>
      <c r="AD2" s="692" t="s">
        <v>383</v>
      </c>
      <c r="AE2" s="692"/>
      <c r="AF2" s="692"/>
      <c r="AG2" s="692"/>
      <c r="AH2" s="692"/>
      <c r="AI2" s="692"/>
      <c r="AJ2" s="692"/>
      <c r="AK2" s="692"/>
      <c r="AL2" s="692"/>
      <c r="AM2" s="692"/>
    </row>
    <row r="3" spans="1:40" x14ac:dyDescent="0.25">
      <c r="A3" s="269"/>
      <c r="B3" s="693" t="s">
        <v>652</v>
      </c>
      <c r="C3" s="693"/>
      <c r="D3" s="693"/>
      <c r="E3" s="693"/>
      <c r="F3" s="693"/>
      <c r="G3" s="270"/>
      <c r="H3" s="271"/>
      <c r="I3" s="271"/>
      <c r="J3" s="271"/>
      <c r="K3" s="271"/>
      <c r="L3" s="271"/>
      <c r="M3" s="271"/>
      <c r="N3" s="271"/>
      <c r="O3" s="271"/>
      <c r="P3" s="271"/>
      <c r="Q3" s="271"/>
      <c r="R3" s="271"/>
      <c r="S3" s="271"/>
      <c r="T3" s="271"/>
      <c r="U3" s="271"/>
      <c r="V3" s="271"/>
      <c r="W3" s="271"/>
      <c r="X3" s="271"/>
      <c r="Y3" s="271"/>
      <c r="Z3" s="271"/>
      <c r="AA3" s="271"/>
      <c r="AB3" s="271"/>
      <c r="AC3" s="271"/>
      <c r="AD3" s="693" t="s">
        <v>384</v>
      </c>
      <c r="AE3" s="693"/>
      <c r="AF3" s="693"/>
      <c r="AG3" s="693"/>
      <c r="AH3" s="693"/>
      <c r="AI3" s="693"/>
      <c r="AJ3" s="693"/>
      <c r="AK3" s="693"/>
      <c r="AL3" s="693"/>
      <c r="AM3" s="693"/>
    </row>
    <row r="4" spans="1:40" hidden="1" x14ac:dyDescent="0.25">
      <c r="A4" s="269"/>
      <c r="B4" s="692" t="s">
        <v>328</v>
      </c>
      <c r="C4" s="692"/>
      <c r="D4" s="692"/>
      <c r="E4" s="692"/>
      <c r="F4" s="692"/>
      <c r="G4" s="270"/>
      <c r="H4" s="271"/>
      <c r="I4" s="271"/>
      <c r="J4" s="271"/>
      <c r="K4" s="271"/>
      <c r="L4" s="271"/>
      <c r="M4" s="271"/>
      <c r="N4" s="271"/>
      <c r="O4" s="271"/>
      <c r="P4" s="271"/>
      <c r="Q4" s="271"/>
      <c r="R4" s="271"/>
      <c r="S4" s="271"/>
      <c r="T4" s="271"/>
      <c r="U4" s="271"/>
      <c r="V4" s="271"/>
      <c r="W4" s="271"/>
      <c r="X4" s="271"/>
      <c r="Y4" s="271"/>
      <c r="Z4" s="271"/>
      <c r="AA4" s="271"/>
      <c r="AB4" s="271"/>
      <c r="AC4" s="271"/>
      <c r="AD4" s="692" t="s">
        <v>383</v>
      </c>
      <c r="AE4" s="692"/>
      <c r="AF4" s="692"/>
      <c r="AG4" s="692"/>
      <c r="AH4" s="692"/>
      <c r="AI4" s="692"/>
      <c r="AJ4" s="692"/>
      <c r="AK4" s="692"/>
      <c r="AL4" s="692"/>
      <c r="AM4" s="692"/>
    </row>
    <row r="5" spans="1:40" hidden="1" x14ac:dyDescent="0.25">
      <c r="A5" s="269"/>
      <c r="B5" s="693" t="s">
        <v>135</v>
      </c>
      <c r="C5" s="693"/>
      <c r="D5" s="693"/>
      <c r="E5" s="693"/>
      <c r="F5" s="693"/>
      <c r="G5" s="270"/>
      <c r="H5" s="271"/>
      <c r="I5" s="271"/>
      <c r="J5" s="271"/>
      <c r="K5" s="271"/>
      <c r="L5" s="271"/>
      <c r="M5" s="271"/>
      <c r="N5" s="271"/>
      <c r="O5" s="271"/>
      <c r="P5" s="271"/>
      <c r="Q5" s="271"/>
      <c r="R5" s="271"/>
      <c r="S5" s="271"/>
      <c r="T5" s="271"/>
      <c r="U5" s="271"/>
      <c r="V5" s="271"/>
      <c r="W5" s="271"/>
      <c r="X5" s="271"/>
      <c r="Y5" s="271"/>
      <c r="Z5" s="271"/>
      <c r="AA5" s="271"/>
      <c r="AB5" s="271"/>
      <c r="AC5" s="271"/>
      <c r="AD5" s="693" t="s">
        <v>384</v>
      </c>
      <c r="AE5" s="693"/>
      <c r="AF5" s="693"/>
      <c r="AG5" s="693"/>
      <c r="AH5" s="693"/>
      <c r="AI5" s="693"/>
      <c r="AJ5" s="693"/>
      <c r="AK5" s="693"/>
      <c r="AL5" s="693"/>
      <c r="AM5" s="693"/>
    </row>
    <row r="6" spans="1:40" ht="12" customHeight="1" x14ac:dyDescent="0.25">
      <c r="B6" s="181"/>
      <c r="C6" s="181"/>
      <c r="D6" s="181"/>
      <c r="E6" s="181"/>
      <c r="F6" s="181"/>
      <c r="G6" s="136"/>
      <c r="H6" s="78"/>
      <c r="I6" s="78"/>
      <c r="J6" s="78"/>
      <c r="K6" s="78"/>
      <c r="L6" s="78"/>
      <c r="M6" s="78"/>
      <c r="N6" s="78"/>
      <c r="O6" s="78"/>
      <c r="P6" s="78"/>
      <c r="Q6" s="78"/>
      <c r="R6" s="78"/>
      <c r="S6" s="78"/>
      <c r="T6" s="78"/>
      <c r="U6" s="78"/>
      <c r="V6" s="78"/>
      <c r="W6" s="78"/>
      <c r="X6" s="78"/>
      <c r="Y6" s="78"/>
      <c r="Z6" s="78"/>
      <c r="AA6" s="78"/>
      <c r="AB6" s="78"/>
      <c r="AC6" s="78"/>
      <c r="AD6" s="181"/>
      <c r="AE6" s="181"/>
      <c r="AF6" s="181"/>
      <c r="AG6" s="181"/>
      <c r="AH6" s="181"/>
      <c r="AI6" s="181"/>
      <c r="AJ6" s="181"/>
      <c r="AK6" s="181"/>
      <c r="AL6" s="181"/>
      <c r="AM6" s="181"/>
    </row>
    <row r="7" spans="1:40" s="127" customFormat="1" ht="19.5" customHeight="1" x14ac:dyDescent="0.25">
      <c r="A7" s="116"/>
      <c r="B7" s="652" t="s">
        <v>657</v>
      </c>
      <c r="C7" s="652"/>
      <c r="D7" s="652"/>
      <c r="E7" s="652"/>
      <c r="F7" s="652"/>
      <c r="G7" s="652"/>
      <c r="H7" s="652"/>
      <c r="I7" s="652"/>
      <c r="J7" s="652"/>
      <c r="K7" s="652"/>
      <c r="L7" s="652"/>
      <c r="M7" s="652"/>
      <c r="N7" s="652"/>
      <c r="O7" s="652"/>
      <c r="P7" s="652"/>
      <c r="Q7" s="652"/>
      <c r="R7" s="652"/>
      <c r="S7" s="652"/>
      <c r="T7" s="652"/>
      <c r="U7" s="652"/>
      <c r="V7" s="652"/>
      <c r="W7" s="652"/>
      <c r="X7" s="652"/>
      <c r="Y7" s="652"/>
      <c r="Z7" s="652"/>
      <c r="AA7" s="652"/>
      <c r="AB7" s="652"/>
      <c r="AC7" s="652"/>
      <c r="AD7" s="652"/>
      <c r="AE7" s="652"/>
      <c r="AF7" s="652"/>
      <c r="AG7" s="652"/>
      <c r="AH7" s="652"/>
      <c r="AI7" s="652"/>
      <c r="AJ7" s="652"/>
      <c r="AK7" s="652"/>
      <c r="AL7" s="652"/>
      <c r="AM7" s="652"/>
    </row>
    <row r="8" spans="1:40" s="127" customFormat="1" ht="19.5" customHeight="1" x14ac:dyDescent="0.25">
      <c r="A8" s="268"/>
      <c r="B8" s="696" t="s">
        <v>651</v>
      </c>
      <c r="C8" s="696"/>
      <c r="D8" s="696"/>
      <c r="E8" s="696"/>
      <c r="F8" s="696"/>
      <c r="G8" s="696"/>
      <c r="H8" s="696"/>
      <c r="I8" s="696"/>
      <c r="J8" s="696"/>
      <c r="K8" s="696"/>
      <c r="L8" s="696"/>
      <c r="M8" s="696"/>
      <c r="N8" s="696"/>
      <c r="O8" s="696"/>
      <c r="P8" s="696"/>
      <c r="Q8" s="696"/>
      <c r="R8" s="696"/>
      <c r="S8" s="696"/>
      <c r="T8" s="696"/>
      <c r="U8" s="696"/>
      <c r="V8" s="696"/>
      <c r="W8" s="696"/>
      <c r="X8" s="696"/>
      <c r="Y8" s="696"/>
      <c r="Z8" s="696"/>
      <c r="AA8" s="696"/>
      <c r="AB8" s="696"/>
      <c r="AC8" s="696"/>
      <c r="AD8" s="696"/>
      <c r="AE8" s="696"/>
      <c r="AF8" s="696"/>
      <c r="AG8" s="696"/>
      <c r="AH8" s="696"/>
      <c r="AI8" s="696"/>
      <c r="AJ8" s="696"/>
      <c r="AK8" s="696"/>
      <c r="AL8" s="696"/>
      <c r="AM8" s="696"/>
    </row>
    <row r="9" spans="1:40" s="217" customFormat="1" ht="15.75" x14ac:dyDescent="0.25">
      <c r="A9" s="268"/>
      <c r="B9" s="696" t="s">
        <v>655</v>
      </c>
      <c r="C9" s="696"/>
      <c r="D9" s="696"/>
      <c r="E9" s="696"/>
      <c r="F9" s="696"/>
      <c r="G9" s="696"/>
      <c r="H9" s="696"/>
      <c r="I9" s="696"/>
      <c r="J9" s="696"/>
      <c r="K9" s="696"/>
      <c r="L9" s="696"/>
      <c r="M9" s="696"/>
      <c r="N9" s="696"/>
      <c r="O9" s="696"/>
      <c r="P9" s="696"/>
      <c r="Q9" s="696"/>
      <c r="R9" s="696"/>
      <c r="S9" s="696"/>
      <c r="T9" s="696"/>
      <c r="U9" s="696"/>
      <c r="V9" s="696"/>
      <c r="W9" s="696"/>
      <c r="X9" s="696"/>
      <c r="Y9" s="696"/>
      <c r="Z9" s="696"/>
      <c r="AA9" s="696"/>
      <c r="AB9" s="696"/>
      <c r="AC9" s="696"/>
      <c r="AD9" s="696"/>
      <c r="AE9" s="696"/>
      <c r="AF9" s="696"/>
      <c r="AG9" s="696"/>
      <c r="AH9" s="696"/>
      <c r="AI9" s="696"/>
      <c r="AJ9" s="696"/>
      <c r="AK9" s="696"/>
      <c r="AL9" s="696"/>
      <c r="AM9" s="696"/>
      <c r="AN9" s="696"/>
    </row>
    <row r="10" spans="1:40" s="217" customFormat="1" ht="15.75" hidden="1" x14ac:dyDescent="0.25">
      <c r="A10" s="268"/>
      <c r="B10" s="696" t="s">
        <v>656</v>
      </c>
      <c r="C10" s="696"/>
      <c r="D10" s="696"/>
      <c r="E10" s="696"/>
      <c r="F10" s="696"/>
      <c r="G10" s="696"/>
      <c r="H10" s="696"/>
      <c r="I10" s="696"/>
      <c r="J10" s="696"/>
      <c r="K10" s="696"/>
      <c r="L10" s="696"/>
      <c r="M10" s="696"/>
      <c r="N10" s="696"/>
      <c r="O10" s="696"/>
      <c r="P10" s="696"/>
      <c r="Q10" s="696"/>
      <c r="R10" s="696"/>
      <c r="S10" s="696"/>
      <c r="T10" s="696"/>
      <c r="U10" s="696"/>
      <c r="V10" s="696"/>
      <c r="W10" s="696"/>
      <c r="X10" s="696"/>
      <c r="Y10" s="696"/>
      <c r="Z10" s="696"/>
      <c r="AA10" s="696"/>
      <c r="AB10" s="696"/>
      <c r="AC10" s="696"/>
      <c r="AD10" s="696"/>
      <c r="AE10" s="696"/>
      <c r="AF10" s="696"/>
      <c r="AG10" s="696"/>
      <c r="AH10" s="696"/>
      <c r="AI10" s="696"/>
      <c r="AJ10" s="696"/>
      <c r="AK10" s="696"/>
      <c r="AL10" s="696"/>
      <c r="AM10" s="696"/>
      <c r="AN10" s="696"/>
    </row>
    <row r="11" spans="1:40" s="217" customFormat="1" ht="20.25" customHeight="1" x14ac:dyDescent="0.25">
      <c r="A11" s="268"/>
      <c r="B11" s="696"/>
      <c r="C11" s="696"/>
      <c r="D11" s="696"/>
      <c r="E11" s="696"/>
      <c r="F11" s="696"/>
      <c r="G11" s="696"/>
      <c r="H11" s="696"/>
      <c r="I11" s="696"/>
      <c r="J11" s="696"/>
      <c r="K11" s="696"/>
      <c r="L11" s="696"/>
      <c r="M11" s="696"/>
      <c r="N11" s="696"/>
      <c r="O11" s="696"/>
      <c r="P11" s="696"/>
      <c r="Q11" s="696"/>
      <c r="R11" s="696"/>
      <c r="S11" s="696"/>
      <c r="T11" s="696"/>
      <c r="U11" s="696"/>
      <c r="V11" s="696"/>
      <c r="W11" s="696"/>
      <c r="X11" s="696"/>
      <c r="Y11" s="696"/>
      <c r="Z11" s="696"/>
      <c r="AA11" s="696"/>
      <c r="AB11" s="696"/>
      <c r="AC11" s="696"/>
      <c r="AD11" s="696"/>
      <c r="AE11" s="696"/>
      <c r="AF11" s="696"/>
      <c r="AG11" s="696"/>
      <c r="AH11" s="696"/>
      <c r="AI11" s="696"/>
      <c r="AJ11" s="696"/>
      <c r="AK11" s="696"/>
      <c r="AL11" s="696"/>
      <c r="AM11" s="696"/>
      <c r="AN11" s="696"/>
    </row>
    <row r="12" spans="1:40" s="217" customFormat="1" ht="16.5" thickBot="1" x14ac:dyDescent="0.3">
      <c r="A12" s="268"/>
      <c r="B12" s="278"/>
      <c r="C12" s="278"/>
      <c r="D12" s="278"/>
      <c r="E12" s="278"/>
      <c r="F12" s="278"/>
      <c r="G12" s="278"/>
      <c r="H12" s="278"/>
      <c r="I12" s="278"/>
      <c r="J12" s="278"/>
      <c r="K12" s="278"/>
      <c r="L12" s="278"/>
      <c r="M12" s="278"/>
      <c r="N12" s="278"/>
      <c r="O12" s="278"/>
      <c r="P12" s="278"/>
      <c r="Q12" s="278"/>
      <c r="R12" s="278"/>
      <c r="S12" s="278"/>
      <c r="T12" s="278"/>
      <c r="U12" s="278"/>
      <c r="V12" s="278"/>
      <c r="W12" s="278"/>
      <c r="X12" s="278"/>
      <c r="Y12" s="278"/>
      <c r="Z12" s="278"/>
      <c r="AA12" s="278"/>
      <c r="AB12" s="278"/>
      <c r="AC12" s="278"/>
      <c r="AD12" s="278"/>
      <c r="AE12" s="278"/>
      <c r="AF12" s="278"/>
      <c r="AG12" s="278"/>
      <c r="AH12" s="278"/>
      <c r="AI12" s="278"/>
      <c r="AJ12" s="278"/>
      <c r="AK12" s="278"/>
      <c r="AL12" s="278"/>
      <c r="AM12" s="278"/>
      <c r="AN12" s="278"/>
    </row>
    <row r="13" spans="1:40" ht="25.5" customHeight="1" x14ac:dyDescent="0.25">
      <c r="B13" s="663" t="s">
        <v>3</v>
      </c>
      <c r="C13" s="659" t="s">
        <v>4</v>
      </c>
      <c r="D13" s="659" t="s">
        <v>5</v>
      </c>
      <c r="E13" s="279"/>
      <c r="F13" s="657" t="s">
        <v>6</v>
      </c>
      <c r="G13" s="659" t="s">
        <v>7</v>
      </c>
      <c r="H13" s="661" t="s">
        <v>8</v>
      </c>
      <c r="I13" s="661"/>
      <c r="J13" s="661" t="s">
        <v>175</v>
      </c>
      <c r="K13" s="661"/>
      <c r="L13" s="661" t="s">
        <v>176</v>
      </c>
      <c r="M13" s="661"/>
      <c r="N13" s="661" t="s">
        <v>177</v>
      </c>
      <c r="O13" s="661"/>
      <c r="P13" s="661" t="s">
        <v>178</v>
      </c>
      <c r="Q13" s="661"/>
      <c r="R13" s="661" t="s">
        <v>13</v>
      </c>
      <c r="S13" s="661"/>
      <c r="T13" s="680" t="s">
        <v>83</v>
      </c>
      <c r="U13" s="680"/>
      <c r="V13" s="680"/>
      <c r="W13" s="680"/>
      <c r="X13" s="680"/>
      <c r="Y13" s="680"/>
      <c r="Z13" s="680"/>
      <c r="AA13" s="680"/>
      <c r="AB13" s="680"/>
      <c r="AC13" s="680"/>
      <c r="AD13" s="661" t="s">
        <v>98</v>
      </c>
      <c r="AE13" s="661" t="s">
        <v>99</v>
      </c>
      <c r="AF13" s="661" t="s">
        <v>14</v>
      </c>
      <c r="AG13" s="661"/>
      <c r="AH13" s="661" t="s">
        <v>15</v>
      </c>
      <c r="AI13" s="715"/>
      <c r="AJ13" s="661" t="s">
        <v>16</v>
      </c>
      <c r="AK13" s="661" t="s">
        <v>95</v>
      </c>
      <c r="AL13" s="661"/>
      <c r="AM13" s="661"/>
    </row>
    <row r="14" spans="1:40" ht="65.25" customHeight="1" x14ac:dyDescent="0.25">
      <c r="B14" s="676"/>
      <c r="C14" s="677"/>
      <c r="D14" s="677"/>
      <c r="E14" s="280"/>
      <c r="F14" s="678"/>
      <c r="G14" s="677"/>
      <c r="H14" s="183" t="s">
        <v>18</v>
      </c>
      <c r="I14" s="184" t="s">
        <v>19</v>
      </c>
      <c r="J14" s="184" t="s">
        <v>20</v>
      </c>
      <c r="K14" s="184" t="s">
        <v>19</v>
      </c>
      <c r="L14" s="183" t="s">
        <v>21</v>
      </c>
      <c r="M14" s="184" t="s">
        <v>19</v>
      </c>
      <c r="N14" s="183" t="s">
        <v>21</v>
      </c>
      <c r="O14" s="184" t="s">
        <v>19</v>
      </c>
      <c r="P14" s="184" t="s">
        <v>20</v>
      </c>
      <c r="Q14" s="184" t="s">
        <v>19</v>
      </c>
      <c r="R14" s="184" t="s">
        <v>20</v>
      </c>
      <c r="S14" s="184" t="s">
        <v>19</v>
      </c>
      <c r="T14" s="185" t="s">
        <v>84</v>
      </c>
      <c r="U14" s="185" t="s">
        <v>85</v>
      </c>
      <c r="V14" s="186" t="s">
        <v>86</v>
      </c>
      <c r="W14" s="186" t="s">
        <v>20</v>
      </c>
      <c r="X14" s="186" t="s">
        <v>87</v>
      </c>
      <c r="Y14" s="186" t="s">
        <v>91</v>
      </c>
      <c r="Z14" s="186" t="s">
        <v>92</v>
      </c>
      <c r="AA14" s="186" t="s">
        <v>90</v>
      </c>
      <c r="AB14" s="185" t="s">
        <v>88</v>
      </c>
      <c r="AC14" s="185" t="s">
        <v>89</v>
      </c>
      <c r="AD14" s="679"/>
      <c r="AE14" s="679"/>
      <c r="AF14" s="184" t="s">
        <v>22</v>
      </c>
      <c r="AG14" s="184" t="s">
        <v>23</v>
      </c>
      <c r="AH14" s="679"/>
      <c r="AI14" s="716"/>
      <c r="AJ14" s="679"/>
      <c r="AK14" s="188" t="s">
        <v>24</v>
      </c>
      <c r="AL14" s="184" t="s">
        <v>57</v>
      </c>
      <c r="AM14" s="184" t="s">
        <v>181</v>
      </c>
    </row>
    <row r="15" spans="1:40" ht="24.75" customHeight="1" x14ac:dyDescent="0.25">
      <c r="B15" s="156"/>
      <c r="C15" s="157" t="s">
        <v>28</v>
      </c>
      <c r="D15" s="157">
        <v>1</v>
      </c>
      <c r="E15" s="157"/>
      <c r="F15" s="281">
        <v>2</v>
      </c>
      <c r="G15" s="157">
        <v>3</v>
      </c>
      <c r="H15" s="157">
        <v>4</v>
      </c>
      <c r="I15" s="157">
        <v>5</v>
      </c>
      <c r="J15" s="157">
        <v>6</v>
      </c>
      <c r="K15" s="157">
        <v>7</v>
      </c>
      <c r="L15" s="157">
        <v>8</v>
      </c>
      <c r="M15" s="157">
        <v>9</v>
      </c>
      <c r="N15" s="157">
        <v>10</v>
      </c>
      <c r="O15" s="157">
        <v>11</v>
      </c>
      <c r="P15" s="157">
        <v>12</v>
      </c>
      <c r="Q15" s="157">
        <v>13</v>
      </c>
      <c r="R15" s="157">
        <v>14</v>
      </c>
      <c r="S15" s="157">
        <v>15</v>
      </c>
      <c r="T15" s="157"/>
      <c r="U15" s="157"/>
      <c r="V15" s="157"/>
      <c r="W15" s="157"/>
      <c r="X15" s="157"/>
      <c r="Y15" s="157"/>
      <c r="Z15" s="157"/>
      <c r="AA15" s="157"/>
      <c r="AB15" s="157"/>
      <c r="AC15" s="157"/>
      <c r="AD15" s="157">
        <v>16</v>
      </c>
      <c r="AE15" s="157">
        <v>17</v>
      </c>
      <c r="AF15" s="157">
        <v>18</v>
      </c>
      <c r="AG15" s="157">
        <v>19</v>
      </c>
      <c r="AH15" s="157">
        <v>20</v>
      </c>
      <c r="AI15" s="157"/>
      <c r="AJ15" s="157">
        <v>21</v>
      </c>
      <c r="AK15" s="189">
        <v>22</v>
      </c>
      <c r="AL15" s="157">
        <v>23</v>
      </c>
      <c r="AM15" s="157">
        <v>24</v>
      </c>
    </row>
    <row r="16" spans="1:40" s="174" customFormat="1" ht="11.25" x14ac:dyDescent="0.2">
      <c r="A16" s="116"/>
      <c r="B16" s="169"/>
      <c r="C16" s="282" t="s">
        <v>38</v>
      </c>
      <c r="D16" s="170" t="str">
        <f>COUNTA(G32:G36)&amp;" hồ sơ"</f>
        <v>1 hồ sơ</v>
      </c>
      <c r="E16" s="170"/>
      <c r="F16" s="170"/>
      <c r="G16" s="171"/>
      <c r="H16" s="172"/>
      <c r="I16" s="172"/>
      <c r="J16" s="172"/>
      <c r="K16" s="172"/>
      <c r="L16" s="172"/>
      <c r="M16" s="172"/>
      <c r="N16" s="172"/>
      <c r="O16" s="172"/>
      <c r="P16" s="172"/>
      <c r="Q16" s="172"/>
      <c r="R16" s="172"/>
      <c r="S16" s="172"/>
      <c r="T16" s="172"/>
      <c r="U16" s="172"/>
      <c r="V16" s="172"/>
      <c r="W16" s="172"/>
      <c r="X16" s="172"/>
      <c r="Y16" s="172"/>
      <c r="Z16" s="172"/>
      <c r="AA16" s="172"/>
      <c r="AB16" s="172"/>
      <c r="AC16" s="172"/>
      <c r="AD16" s="172"/>
      <c r="AE16" s="172"/>
      <c r="AF16" s="172"/>
      <c r="AG16" s="172"/>
      <c r="AH16" s="172"/>
      <c r="AI16" s="172"/>
      <c r="AJ16" s="172"/>
      <c r="AK16" s="283" t="e">
        <f>SUM(#REF!,#REF!)</f>
        <v>#REF!</v>
      </c>
      <c r="AL16" s="283" t="e">
        <f>SUM(#REF!,#REF!)</f>
        <v>#REF!</v>
      </c>
      <c r="AM16" s="283" t="e">
        <f>SUM(#REF!,#REF!)</f>
        <v>#REF!</v>
      </c>
    </row>
    <row r="17" spans="1:256" s="174" customFormat="1" ht="36" x14ac:dyDescent="0.25">
      <c r="A17" s="116" t="s">
        <v>466</v>
      </c>
      <c r="B17" s="96">
        <v>1</v>
      </c>
      <c r="C17" s="439" t="s">
        <v>664</v>
      </c>
      <c r="D17" s="395" t="s">
        <v>691</v>
      </c>
      <c r="E17" s="395">
        <v>26969</v>
      </c>
      <c r="F17" s="99"/>
      <c r="G17" s="213" t="s">
        <v>692</v>
      </c>
      <c r="H17" s="155">
        <v>3.99</v>
      </c>
      <c r="I17" s="139">
        <v>44866</v>
      </c>
      <c r="J17" s="140" t="s">
        <v>693</v>
      </c>
      <c r="K17" s="139" t="s">
        <v>700</v>
      </c>
      <c r="L17" s="263"/>
      <c r="M17" s="261"/>
      <c r="N17" s="263"/>
      <c r="O17" s="261"/>
      <c r="P17" s="154"/>
      <c r="Q17" s="154"/>
      <c r="R17" s="155" t="s">
        <v>694</v>
      </c>
      <c r="S17" s="139" t="s">
        <v>695</v>
      </c>
      <c r="T17" s="98">
        <f>EDATE(AH17,-60)</f>
        <v>43101</v>
      </c>
      <c r="U17" s="98">
        <v>43281</v>
      </c>
      <c r="V17" s="99">
        <f t="shared" ref="V17:V18" si="0">ROUND(DAYS360(T17,U17,0)/30,0)</f>
        <v>6</v>
      </c>
      <c r="W17" s="99">
        <v>3.33</v>
      </c>
      <c r="X17" s="99">
        <v>0.3</v>
      </c>
      <c r="Y17" s="141"/>
      <c r="Z17" s="99"/>
      <c r="AA17" s="100">
        <f t="shared" ref="AA17:AA18" si="1">W17+X17+Y17*W17+(W17+X17+Y17*W17)*Z17</f>
        <v>3.63</v>
      </c>
      <c r="AB17" s="101">
        <v>1300000</v>
      </c>
      <c r="AC17" s="101">
        <f t="shared" ref="AC17:AC18" si="2">V17*AA17*AB17</f>
        <v>28314000</v>
      </c>
      <c r="AD17" s="103">
        <f>AB23*AA23</f>
        <v>5945100</v>
      </c>
      <c r="AE17" s="225">
        <f>AC24/V24</f>
        <v>5453380</v>
      </c>
      <c r="AF17" s="99" t="s">
        <v>523</v>
      </c>
      <c r="AG17" s="99"/>
      <c r="AH17" s="98" t="s">
        <v>690</v>
      </c>
      <c r="AI17" s="98">
        <f>DATE(YEAR(D17),MONTH(D17)+1,1)</f>
        <v>26969</v>
      </c>
      <c r="AJ17" s="99" t="str">
        <f>DATEDIF(AI17,AH17,"y")&amp;"t"&amp;DATEDIF(AI17,AH17,"ym")&amp;"th"</f>
        <v>49t2th</v>
      </c>
      <c r="AK17" s="191">
        <f>SUM(AL17:AM17)</f>
        <v>214156980</v>
      </c>
      <c r="AL17" s="103">
        <f>ROUND(3*AD17,0)</f>
        <v>17835300</v>
      </c>
      <c r="AM17" s="163">
        <f>ROUND((VALUE(LEFT(AF17,2)+IF(LEN(AF17)&lt;4,0,IF(VALUE(MID(AF17,4,LEN(AF17)-4))&gt;6,1,IF(VALUE(MID(AF17,4,LEN(AF17)-4))&gt;2,0.5,0)))))*AE17*1.5,0)</f>
        <v>196321680</v>
      </c>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row>
    <row r="18" spans="1:256" s="174" customFormat="1" x14ac:dyDescent="0.25">
      <c r="A18" s="116"/>
      <c r="B18" s="96"/>
      <c r="C18" s="265"/>
      <c r="D18" s="99"/>
      <c r="E18" s="99"/>
      <c r="F18" s="82"/>
      <c r="G18" s="80"/>
      <c r="H18" s="82"/>
      <c r="I18" s="82"/>
      <c r="J18" s="82"/>
      <c r="K18" s="82"/>
      <c r="L18" s="82"/>
      <c r="M18" s="82"/>
      <c r="N18" s="82"/>
      <c r="O18" s="82"/>
      <c r="P18" s="82"/>
      <c r="Q18" s="81"/>
      <c r="R18" s="82"/>
      <c r="S18" s="81"/>
      <c r="T18" s="81">
        <v>43282</v>
      </c>
      <c r="U18" s="264">
        <v>43646</v>
      </c>
      <c r="V18" s="82">
        <f t="shared" si="0"/>
        <v>12</v>
      </c>
      <c r="W18" s="99">
        <v>3.33</v>
      </c>
      <c r="X18" s="99">
        <v>0.3</v>
      </c>
      <c r="Y18" s="112"/>
      <c r="Z18" s="82"/>
      <c r="AA18" s="83">
        <f t="shared" si="1"/>
        <v>3.63</v>
      </c>
      <c r="AB18" s="84">
        <v>1390000</v>
      </c>
      <c r="AC18" s="84">
        <f t="shared" si="2"/>
        <v>60548400</v>
      </c>
      <c r="AD18" s="85"/>
      <c r="AE18" s="85"/>
      <c r="AF18" s="82"/>
      <c r="AG18" s="82"/>
      <c r="AH18" s="82"/>
      <c r="AI18" s="82"/>
      <c r="AJ18" s="82"/>
      <c r="AK18" s="192"/>
      <c r="AL18" s="82"/>
      <c r="AM18" s="99"/>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row>
    <row r="19" spans="1:256" ht="15" customHeight="1" x14ac:dyDescent="0.25">
      <c r="B19" s="96"/>
      <c r="C19" s="265"/>
      <c r="D19" s="99"/>
      <c r="E19" s="99"/>
      <c r="F19" s="82"/>
      <c r="G19" s="80"/>
      <c r="H19" s="82"/>
      <c r="I19" s="82"/>
      <c r="J19" s="82"/>
      <c r="K19" s="82"/>
      <c r="L19" s="82"/>
      <c r="M19" s="82"/>
      <c r="N19" s="82"/>
      <c r="O19" s="82"/>
      <c r="P19" s="82"/>
      <c r="Q19" s="81"/>
      <c r="R19" s="82"/>
      <c r="S19" s="81"/>
      <c r="T19" s="81">
        <v>43647</v>
      </c>
      <c r="U19" s="264">
        <v>43768</v>
      </c>
      <c r="V19" s="82">
        <f>ROUND(DAYS360(T19,U19,0)/30,0)</f>
        <v>4</v>
      </c>
      <c r="W19" s="99">
        <v>3.33</v>
      </c>
      <c r="X19" s="99">
        <v>0.3</v>
      </c>
      <c r="Y19" s="112"/>
      <c r="Z19" s="82"/>
      <c r="AA19" s="83">
        <f>W19+X19+Y19*W19+(W19+X19+Y19*W19)*Z19</f>
        <v>3.63</v>
      </c>
      <c r="AB19" s="84">
        <v>1490000</v>
      </c>
      <c r="AC19" s="84">
        <f>V19*AA19*AB19</f>
        <v>21634800</v>
      </c>
      <c r="AD19" s="85"/>
      <c r="AE19" s="85"/>
      <c r="AF19" s="82"/>
      <c r="AG19" s="82"/>
      <c r="AH19" s="82"/>
      <c r="AI19" s="82"/>
      <c r="AJ19" s="82"/>
      <c r="AK19" s="192"/>
      <c r="AL19" s="82"/>
      <c r="AM19" s="99"/>
    </row>
    <row r="20" spans="1:256" ht="15" customHeight="1" x14ac:dyDescent="0.25">
      <c r="B20" s="96"/>
      <c r="C20" s="265"/>
      <c r="D20" s="99"/>
      <c r="E20" s="99"/>
      <c r="F20" s="82"/>
      <c r="G20" s="80"/>
      <c r="H20" s="82"/>
      <c r="I20" s="82"/>
      <c r="J20" s="82"/>
      <c r="K20" s="82"/>
      <c r="L20" s="82"/>
      <c r="M20" s="82"/>
      <c r="N20" s="82"/>
      <c r="O20" s="82"/>
      <c r="P20" s="82"/>
      <c r="Q20" s="81"/>
      <c r="R20" s="82"/>
      <c r="S20" s="81"/>
      <c r="T20" s="81">
        <v>43770</v>
      </c>
      <c r="U20" s="264">
        <v>44042</v>
      </c>
      <c r="V20" s="82">
        <f t="shared" ref="V20:V21" si="3">ROUND(DAYS360(T20,U20,0)/30,0)</f>
        <v>9</v>
      </c>
      <c r="W20" s="99">
        <v>3.66</v>
      </c>
      <c r="X20" s="99">
        <v>0.3</v>
      </c>
      <c r="Y20" s="112"/>
      <c r="Z20" s="82"/>
      <c r="AA20" s="83">
        <f t="shared" ref="AA20:AA21" si="4">W20+X20+Y20*W20+(W20+X20+Y20*W20)*Z20</f>
        <v>3.96</v>
      </c>
      <c r="AB20" s="84">
        <v>1490000</v>
      </c>
      <c r="AC20" s="84">
        <f t="shared" ref="AC20:AC21" si="5">V20*AA20*AB20</f>
        <v>53103600</v>
      </c>
      <c r="AD20" s="85"/>
      <c r="AE20" s="85"/>
      <c r="AF20" s="82"/>
      <c r="AG20" s="82"/>
      <c r="AH20" s="82"/>
      <c r="AI20" s="82"/>
      <c r="AJ20" s="82"/>
      <c r="AK20" s="192"/>
      <c r="AL20" s="82"/>
      <c r="AM20" s="99"/>
    </row>
    <row r="21" spans="1:256" ht="15" customHeight="1" x14ac:dyDescent="0.25">
      <c r="B21" s="96"/>
      <c r="C21" s="265"/>
      <c r="D21" s="99"/>
      <c r="E21" s="99"/>
      <c r="F21" s="82"/>
      <c r="G21" s="80"/>
      <c r="H21" s="82"/>
      <c r="I21" s="82"/>
      <c r="J21" s="82"/>
      <c r="K21" s="82"/>
      <c r="L21" s="82"/>
      <c r="M21" s="82"/>
      <c r="N21" s="82"/>
      <c r="O21" s="82"/>
      <c r="P21" s="82"/>
      <c r="Q21" s="81"/>
      <c r="R21" s="82"/>
      <c r="S21" s="81"/>
      <c r="T21" s="81">
        <v>44044</v>
      </c>
      <c r="U21" s="264">
        <v>44407</v>
      </c>
      <c r="V21" s="82">
        <f t="shared" si="3"/>
        <v>12</v>
      </c>
      <c r="W21" s="99">
        <v>3.66</v>
      </c>
      <c r="X21" s="82">
        <v>0.25</v>
      </c>
      <c r="Y21" s="112"/>
      <c r="Z21" s="82"/>
      <c r="AA21" s="83">
        <f t="shared" si="4"/>
        <v>3.91</v>
      </c>
      <c r="AB21" s="84">
        <v>1490000</v>
      </c>
      <c r="AC21" s="84">
        <f t="shared" si="5"/>
        <v>69910800</v>
      </c>
      <c r="AD21" s="85"/>
      <c r="AE21" s="85"/>
      <c r="AF21" s="82"/>
      <c r="AG21" s="82"/>
      <c r="AH21" s="82"/>
      <c r="AI21" s="82"/>
      <c r="AJ21" s="82"/>
      <c r="AK21" s="192"/>
      <c r="AL21" s="82"/>
      <c r="AM21" s="99"/>
    </row>
    <row r="22" spans="1:256" ht="15" customHeight="1" x14ac:dyDescent="0.25">
      <c r="B22" s="96"/>
      <c r="C22" s="265"/>
      <c r="D22" s="99"/>
      <c r="E22" s="99"/>
      <c r="F22" s="82"/>
      <c r="G22" s="80"/>
      <c r="H22" s="82"/>
      <c r="I22" s="82"/>
      <c r="J22" s="82"/>
      <c r="K22" s="82"/>
      <c r="L22" s="82"/>
      <c r="M22" s="82"/>
      <c r="N22" s="82"/>
      <c r="O22" s="82"/>
      <c r="P22" s="82"/>
      <c r="Q22" s="81"/>
      <c r="R22" s="82"/>
      <c r="S22" s="81"/>
      <c r="T22" s="81">
        <v>44409</v>
      </c>
      <c r="U22" s="264">
        <v>44864</v>
      </c>
      <c r="V22" s="82">
        <f t="shared" ref="V22:V23" si="6">ROUND(DAYS360(T22,U22,0)/30,0)</f>
        <v>15</v>
      </c>
      <c r="W22" s="99">
        <v>3.66</v>
      </c>
      <c r="X22" s="82"/>
      <c r="Y22" s="112"/>
      <c r="Z22" s="82"/>
      <c r="AA22" s="83">
        <f t="shared" ref="AA22:AA23" si="7">W22+X22+Y22*W22+(W22+X22+Y22*W22)*Z22</f>
        <v>3.66</v>
      </c>
      <c r="AB22" s="84">
        <v>1490000</v>
      </c>
      <c r="AC22" s="84">
        <f t="shared" ref="AC22:AC23" si="8">V22*AA22*AB22</f>
        <v>81801000.000000015</v>
      </c>
      <c r="AD22" s="85"/>
      <c r="AE22" s="85"/>
      <c r="AF22" s="82"/>
      <c r="AG22" s="82"/>
      <c r="AH22" s="82"/>
      <c r="AI22" s="82"/>
      <c r="AJ22" s="82"/>
      <c r="AK22" s="192"/>
      <c r="AL22" s="82"/>
      <c r="AM22" s="99"/>
    </row>
    <row r="23" spans="1:256" ht="15" customHeight="1" x14ac:dyDescent="0.25">
      <c r="B23" s="96"/>
      <c r="C23" s="265"/>
      <c r="D23" s="99"/>
      <c r="E23" s="99"/>
      <c r="F23" s="82"/>
      <c r="G23" s="80"/>
      <c r="H23" s="82"/>
      <c r="I23" s="82"/>
      <c r="J23" s="82"/>
      <c r="K23" s="82"/>
      <c r="L23" s="82"/>
      <c r="M23" s="82"/>
      <c r="N23" s="82"/>
      <c r="O23" s="82"/>
      <c r="P23" s="82"/>
      <c r="Q23" s="81"/>
      <c r="R23" s="82"/>
      <c r="S23" s="81"/>
      <c r="T23" s="81">
        <v>44866</v>
      </c>
      <c r="U23" s="264">
        <v>44925</v>
      </c>
      <c r="V23" s="82">
        <f t="shared" si="6"/>
        <v>2</v>
      </c>
      <c r="W23" s="99">
        <v>3.99</v>
      </c>
      <c r="X23" s="82"/>
      <c r="Y23" s="112"/>
      <c r="Z23" s="82"/>
      <c r="AA23" s="83">
        <f t="shared" si="7"/>
        <v>3.99</v>
      </c>
      <c r="AB23" s="84">
        <v>1490000</v>
      </c>
      <c r="AC23" s="84">
        <f t="shared" si="8"/>
        <v>11890200</v>
      </c>
      <c r="AD23" s="85"/>
      <c r="AE23" s="85"/>
      <c r="AF23" s="82"/>
      <c r="AG23" s="82"/>
      <c r="AH23" s="82"/>
      <c r="AI23" s="82"/>
      <c r="AJ23" s="82"/>
      <c r="AK23" s="192"/>
      <c r="AL23" s="82"/>
      <c r="AM23" s="99"/>
    </row>
    <row r="24" spans="1:256" x14ac:dyDescent="0.25">
      <c r="B24" s="89"/>
      <c r="C24" s="267"/>
      <c r="D24" s="91"/>
      <c r="E24" s="91"/>
      <c r="F24" s="91"/>
      <c r="G24" s="90"/>
      <c r="H24" s="91"/>
      <c r="I24" s="91"/>
      <c r="J24" s="91"/>
      <c r="K24" s="91"/>
      <c r="L24" s="91"/>
      <c r="M24" s="91"/>
      <c r="N24" s="91"/>
      <c r="O24" s="91"/>
      <c r="P24" s="91"/>
      <c r="Q24" s="92"/>
      <c r="R24" s="91"/>
      <c r="S24" s="91"/>
      <c r="T24" s="92"/>
      <c r="U24" s="92"/>
      <c r="V24" s="91">
        <f>SUM(V17:V23)</f>
        <v>60</v>
      </c>
      <c r="W24" s="93"/>
      <c r="X24" s="92"/>
      <c r="Y24" s="92"/>
      <c r="Z24" s="92"/>
      <c r="AA24" s="93"/>
      <c r="AB24" s="94"/>
      <c r="AC24" s="94">
        <f>SUM(AC17:AC23)</f>
        <v>327202800</v>
      </c>
      <c r="AD24" s="91"/>
      <c r="AE24" s="91"/>
      <c r="AF24" s="91"/>
      <c r="AG24" s="91"/>
      <c r="AH24" s="91"/>
      <c r="AI24" s="91"/>
      <c r="AJ24" s="91"/>
      <c r="AK24" s="193"/>
      <c r="AL24" s="91"/>
      <c r="AM24" s="91"/>
    </row>
    <row r="25" spans="1:256" s="174" customFormat="1" ht="27" x14ac:dyDescent="0.25">
      <c r="A25" s="116" t="s">
        <v>658</v>
      </c>
      <c r="B25" s="96">
        <v>1</v>
      </c>
      <c r="C25" s="439" t="s">
        <v>698</v>
      </c>
      <c r="D25" s="395">
        <v>31496</v>
      </c>
      <c r="E25" s="395">
        <v>31503</v>
      </c>
      <c r="F25" s="99" t="s">
        <v>151</v>
      </c>
      <c r="G25" s="213" t="s">
        <v>699</v>
      </c>
      <c r="H25" s="155">
        <v>3.06</v>
      </c>
      <c r="I25" s="139">
        <v>44593</v>
      </c>
      <c r="J25" s="140"/>
      <c r="K25" s="139"/>
      <c r="L25" s="263"/>
      <c r="M25" s="261"/>
      <c r="N25" s="263"/>
      <c r="O25" s="261"/>
      <c r="P25" s="154"/>
      <c r="Q25" s="154"/>
      <c r="R25" s="155" t="s">
        <v>701</v>
      </c>
      <c r="S25" s="139" t="s">
        <v>702</v>
      </c>
      <c r="T25" s="98">
        <f>EDATE(AH25,-60)</f>
        <v>43101</v>
      </c>
      <c r="U25" s="98">
        <v>43130</v>
      </c>
      <c r="V25" s="99">
        <f t="shared" ref="V25:V30" si="9">ROUND(DAYS360(T25,U25,0)/30,0)</f>
        <v>1</v>
      </c>
      <c r="W25" s="99">
        <v>2.46</v>
      </c>
      <c r="X25" s="99"/>
      <c r="Y25" s="141"/>
      <c r="Z25" s="99"/>
      <c r="AA25" s="100">
        <f t="shared" ref="AA25:AA30" si="10">W25+X25+Y25*W25+(W25+X25+Y25*W25)*Z25</f>
        <v>2.46</v>
      </c>
      <c r="AB25" s="101">
        <v>1300000</v>
      </c>
      <c r="AC25" s="101">
        <f t="shared" ref="AC25:AC30" si="11">V25*AA25*AB25</f>
        <v>3198000</v>
      </c>
      <c r="AD25" s="103">
        <f>AB30*AA30</f>
        <v>4559400</v>
      </c>
      <c r="AE25" s="225">
        <f>AC31/V31</f>
        <v>4083793.3333333335</v>
      </c>
      <c r="AF25" s="99" t="s">
        <v>703</v>
      </c>
      <c r="AG25" s="99"/>
      <c r="AH25" s="98" t="s">
        <v>690</v>
      </c>
      <c r="AI25" s="98">
        <f>DATE(YEAR(D25),MONTH(D25)+1,1)</f>
        <v>31503</v>
      </c>
      <c r="AJ25" s="99" t="str">
        <f>DATEDIF(AI25,AH25,"y")&amp;"t"&amp;DATEDIF(AI25,AH25,"ym")&amp;"th"</f>
        <v>36t9th</v>
      </c>
      <c r="AK25" s="191">
        <f>SUM(AL25:AM25)</f>
        <v>102500705</v>
      </c>
      <c r="AL25" s="103">
        <f>ROUND(3*AD25,0)</f>
        <v>13678200</v>
      </c>
      <c r="AM25" s="163">
        <f>ROUND((VALUE(LEFT(AF25,2)+IF(LEN(AF25)&lt;4,0,IF(VALUE(MID(AF25,4,LEN(AF25)-4))&gt;6,1,IF(VALUE(MID(AF25,4,LEN(AF25)-4))&gt;2,0.5,0)))))*AE25*1.5,0)</f>
        <v>88822505</v>
      </c>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row>
    <row r="26" spans="1:256" s="174" customFormat="1" x14ac:dyDescent="0.25">
      <c r="A26" s="116"/>
      <c r="B26" s="96"/>
      <c r="C26" s="265"/>
      <c r="D26" s="99"/>
      <c r="E26" s="99"/>
      <c r="F26" s="82"/>
      <c r="G26" s="80"/>
      <c r="H26" s="82"/>
      <c r="I26" s="82"/>
      <c r="J26" s="82"/>
      <c r="K26" s="82"/>
      <c r="L26" s="82"/>
      <c r="M26" s="82"/>
      <c r="N26" s="82"/>
      <c r="O26" s="82"/>
      <c r="P26" s="82"/>
      <c r="Q26" s="81"/>
      <c r="R26" s="82"/>
      <c r="S26" s="81"/>
      <c r="T26" s="81">
        <v>43132</v>
      </c>
      <c r="U26" s="264">
        <v>43281</v>
      </c>
      <c r="V26" s="82">
        <f t="shared" si="9"/>
        <v>5</v>
      </c>
      <c r="W26" s="99">
        <v>2.66</v>
      </c>
      <c r="X26" s="82"/>
      <c r="Y26" s="141"/>
      <c r="Z26" s="82"/>
      <c r="AA26" s="83">
        <f t="shared" si="10"/>
        <v>2.66</v>
      </c>
      <c r="AB26" s="84">
        <v>1300000</v>
      </c>
      <c r="AC26" s="84">
        <f t="shared" si="11"/>
        <v>17290000</v>
      </c>
      <c r="AD26" s="85"/>
      <c r="AE26" s="85"/>
      <c r="AF26" s="82"/>
      <c r="AG26" s="82"/>
      <c r="AH26" s="82"/>
      <c r="AI26" s="82"/>
      <c r="AJ26" s="82"/>
      <c r="AK26" s="192"/>
      <c r="AL26" s="82"/>
      <c r="AM26" s="99"/>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row>
    <row r="27" spans="1:256" s="174" customFormat="1" x14ac:dyDescent="0.25">
      <c r="A27" s="116"/>
      <c r="B27" s="96"/>
      <c r="C27" s="265"/>
      <c r="D27" s="99"/>
      <c r="E27" s="99"/>
      <c r="F27" s="82"/>
      <c r="G27" s="80"/>
      <c r="H27" s="82"/>
      <c r="I27" s="82"/>
      <c r="J27" s="82"/>
      <c r="K27" s="82"/>
      <c r="L27" s="82"/>
      <c r="M27" s="82"/>
      <c r="N27" s="82"/>
      <c r="O27" s="82"/>
      <c r="P27" s="82"/>
      <c r="Q27" s="81"/>
      <c r="R27" s="82"/>
      <c r="S27" s="81"/>
      <c r="T27" s="81">
        <v>43282</v>
      </c>
      <c r="U27" s="264">
        <v>43646</v>
      </c>
      <c r="V27" s="82">
        <f t="shared" si="9"/>
        <v>12</v>
      </c>
      <c r="W27" s="99">
        <v>2.66</v>
      </c>
      <c r="X27" s="82"/>
      <c r="Y27" s="112"/>
      <c r="Z27" s="82"/>
      <c r="AA27" s="83">
        <f t="shared" si="10"/>
        <v>2.66</v>
      </c>
      <c r="AB27" s="84">
        <v>1390000</v>
      </c>
      <c r="AC27" s="84">
        <f t="shared" si="11"/>
        <v>44368800</v>
      </c>
      <c r="AD27" s="85"/>
      <c r="AE27" s="85"/>
      <c r="AF27" s="82"/>
      <c r="AG27" s="82"/>
      <c r="AH27" s="82"/>
      <c r="AI27" s="82"/>
      <c r="AJ27" s="82"/>
      <c r="AK27" s="192"/>
      <c r="AL27" s="82"/>
      <c r="AM27" s="99"/>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row>
    <row r="28" spans="1:256" ht="15" customHeight="1" x14ac:dyDescent="0.25">
      <c r="B28" s="96"/>
      <c r="C28" s="265"/>
      <c r="D28" s="99"/>
      <c r="E28" s="99"/>
      <c r="F28" s="82"/>
      <c r="G28" s="80"/>
      <c r="H28" s="82"/>
      <c r="I28" s="82"/>
      <c r="J28" s="82"/>
      <c r="K28" s="82"/>
      <c r="L28" s="82"/>
      <c r="M28" s="82"/>
      <c r="N28" s="82"/>
      <c r="O28" s="82"/>
      <c r="P28" s="82"/>
      <c r="Q28" s="81"/>
      <c r="R28" s="82"/>
      <c r="S28" s="81"/>
      <c r="T28" s="81">
        <v>43647</v>
      </c>
      <c r="U28" s="264">
        <v>43860</v>
      </c>
      <c r="V28" s="82">
        <f>ROUND(DAYS360(T28,U28,0)/30,0)</f>
        <v>7</v>
      </c>
      <c r="W28" s="99">
        <v>2.66</v>
      </c>
      <c r="X28" s="82"/>
      <c r="Y28" s="112"/>
      <c r="Z28" s="82"/>
      <c r="AA28" s="83">
        <f>W28+X28+Y28*W28+(W28+X28+Y28*W28)*Z28</f>
        <v>2.66</v>
      </c>
      <c r="AB28" s="84">
        <v>1490000</v>
      </c>
      <c r="AC28" s="84">
        <f>V28*AA28*AB28</f>
        <v>27743800</v>
      </c>
      <c r="AD28" s="85"/>
      <c r="AE28" s="85"/>
      <c r="AF28" s="82"/>
      <c r="AG28" s="82"/>
      <c r="AH28" s="82"/>
      <c r="AI28" s="82"/>
      <c r="AJ28" s="82"/>
      <c r="AK28" s="192"/>
      <c r="AL28" s="82"/>
      <c r="AM28" s="99"/>
    </row>
    <row r="29" spans="1:256" ht="15" customHeight="1" x14ac:dyDescent="0.25">
      <c r="B29" s="96"/>
      <c r="C29" s="265"/>
      <c r="D29" s="99"/>
      <c r="E29" s="99"/>
      <c r="F29" s="82"/>
      <c r="G29" s="80"/>
      <c r="H29" s="82"/>
      <c r="I29" s="82"/>
      <c r="J29" s="82"/>
      <c r="K29" s="82"/>
      <c r="L29" s="82"/>
      <c r="M29" s="82"/>
      <c r="N29" s="82"/>
      <c r="O29" s="82"/>
      <c r="P29" s="82"/>
      <c r="Q29" s="81"/>
      <c r="R29" s="82"/>
      <c r="S29" s="81"/>
      <c r="T29" s="81">
        <v>43862</v>
      </c>
      <c r="U29" s="264">
        <v>44591</v>
      </c>
      <c r="V29" s="82">
        <f t="shared" ref="V29" si="12">ROUND(DAYS360(T29,U29,0)/30,0)</f>
        <v>24</v>
      </c>
      <c r="W29" s="99">
        <v>2.86</v>
      </c>
      <c r="X29" s="82"/>
      <c r="Y29" s="112"/>
      <c r="Z29" s="82"/>
      <c r="AA29" s="83">
        <f t="shared" ref="AA29" si="13">W29+X29+Y29*W29+(W29+X29+Y29*W29)*Z29</f>
        <v>2.86</v>
      </c>
      <c r="AB29" s="84">
        <v>1490000</v>
      </c>
      <c r="AC29" s="84">
        <f t="shared" ref="AC29" si="14">V29*AA29*AB29</f>
        <v>102273600</v>
      </c>
      <c r="AD29" s="85"/>
      <c r="AE29" s="85"/>
      <c r="AF29" s="82"/>
      <c r="AG29" s="82"/>
      <c r="AH29" s="82"/>
      <c r="AI29" s="82"/>
      <c r="AJ29" s="82"/>
      <c r="AK29" s="192"/>
      <c r="AL29" s="82"/>
      <c r="AM29" s="99"/>
    </row>
    <row r="30" spans="1:256" ht="15" customHeight="1" x14ac:dyDescent="0.25">
      <c r="B30" s="96"/>
      <c r="C30" s="265"/>
      <c r="D30" s="99"/>
      <c r="E30" s="99"/>
      <c r="F30" s="82"/>
      <c r="G30" s="80"/>
      <c r="H30" s="82"/>
      <c r="I30" s="82"/>
      <c r="J30" s="82"/>
      <c r="K30" s="82"/>
      <c r="L30" s="82"/>
      <c r="M30" s="82"/>
      <c r="N30" s="82"/>
      <c r="O30" s="82"/>
      <c r="P30" s="82"/>
      <c r="Q30" s="81"/>
      <c r="R30" s="82"/>
      <c r="S30" s="81"/>
      <c r="T30" s="81">
        <v>44593</v>
      </c>
      <c r="U30" s="264">
        <v>44925</v>
      </c>
      <c r="V30" s="82">
        <f t="shared" si="9"/>
        <v>11</v>
      </c>
      <c r="W30" s="99">
        <v>3.06</v>
      </c>
      <c r="X30" s="82"/>
      <c r="Y30" s="112"/>
      <c r="Z30" s="82"/>
      <c r="AA30" s="83">
        <f t="shared" si="10"/>
        <v>3.06</v>
      </c>
      <c r="AB30" s="84">
        <v>1490000</v>
      </c>
      <c r="AC30" s="84">
        <f t="shared" si="11"/>
        <v>50153400.000000007</v>
      </c>
      <c r="AD30" s="85"/>
      <c r="AE30" s="85"/>
      <c r="AF30" s="82"/>
      <c r="AG30" s="82"/>
      <c r="AH30" s="82"/>
      <c r="AI30" s="82"/>
      <c r="AJ30" s="82"/>
      <c r="AK30" s="192"/>
      <c r="AL30" s="82"/>
      <c r="AM30" s="99"/>
    </row>
    <row r="31" spans="1:256" x14ac:dyDescent="0.25">
      <c r="B31" s="89"/>
      <c r="C31" s="267"/>
      <c r="D31" s="91"/>
      <c r="E31" s="91"/>
      <c r="F31" s="91"/>
      <c r="G31" s="90"/>
      <c r="H31" s="91"/>
      <c r="I31" s="91"/>
      <c r="J31" s="91"/>
      <c r="K31" s="91"/>
      <c r="L31" s="91"/>
      <c r="M31" s="91"/>
      <c r="N31" s="91"/>
      <c r="O31" s="91"/>
      <c r="P31" s="91"/>
      <c r="Q31" s="92"/>
      <c r="R31" s="91"/>
      <c r="S31" s="91"/>
      <c r="T31" s="92"/>
      <c r="U31" s="92"/>
      <c r="V31" s="91">
        <f>SUM(V25:V30)</f>
        <v>60</v>
      </c>
      <c r="W31" s="93"/>
      <c r="X31" s="92"/>
      <c r="Y31" s="92"/>
      <c r="Z31" s="92"/>
      <c r="AA31" s="93"/>
      <c r="AB31" s="94"/>
      <c r="AC31" s="94">
        <f>SUM(AC25:AC30)</f>
        <v>245027600</v>
      </c>
      <c r="AD31" s="91"/>
      <c r="AE31" s="91"/>
      <c r="AF31" s="91"/>
      <c r="AG31" s="91"/>
      <c r="AH31" s="91"/>
      <c r="AI31" s="91"/>
      <c r="AJ31" s="91"/>
      <c r="AK31" s="193"/>
      <c r="AL31" s="91"/>
      <c r="AM31" s="91"/>
    </row>
    <row r="32" spans="1:256" s="174" customFormat="1" ht="27" x14ac:dyDescent="0.25">
      <c r="A32" s="116" t="s">
        <v>404</v>
      </c>
      <c r="B32" s="96">
        <v>1</v>
      </c>
      <c r="C32" s="439" t="s">
        <v>709</v>
      </c>
      <c r="D32" s="395">
        <v>28842</v>
      </c>
      <c r="E32" s="395">
        <v>28856</v>
      </c>
      <c r="F32" s="99"/>
      <c r="G32" s="213" t="s">
        <v>710</v>
      </c>
      <c r="H32" s="262">
        <v>2.86</v>
      </c>
      <c r="I32" s="261">
        <v>44378</v>
      </c>
      <c r="J32" s="154"/>
      <c r="K32" s="261"/>
      <c r="L32" s="263"/>
      <c r="M32" s="261"/>
      <c r="N32" s="263"/>
      <c r="O32" s="261"/>
      <c r="P32" s="154"/>
      <c r="Q32" s="154"/>
      <c r="R32" s="262">
        <v>2.66</v>
      </c>
      <c r="S32" s="261">
        <v>43647</v>
      </c>
      <c r="T32" s="98">
        <f>EDATE(AH32,-60)</f>
        <v>43101</v>
      </c>
      <c r="U32" s="98">
        <v>43281</v>
      </c>
      <c r="V32" s="99">
        <f t="shared" ref="V32" si="15">ROUND(DAYS360(T32,U32,0)/30,0)</f>
        <v>6</v>
      </c>
      <c r="W32" s="99">
        <v>2.46</v>
      </c>
      <c r="X32" s="224"/>
      <c r="Y32" s="99"/>
      <c r="Z32" s="99"/>
      <c r="AA32" s="100">
        <f t="shared" ref="AA32" si="16">W32+X32+Y32*W32+(W32+X32+Y32*W32)*Z32</f>
        <v>2.46</v>
      </c>
      <c r="AB32" s="101">
        <v>1300000</v>
      </c>
      <c r="AC32" s="101">
        <f t="shared" ref="AC32" si="17">V32*AA32*AB32</f>
        <v>19188000</v>
      </c>
      <c r="AD32" s="103">
        <f>AA35*AB35</f>
        <v>4261400</v>
      </c>
      <c r="AE32" s="225">
        <f>AC36/V36</f>
        <v>3867460</v>
      </c>
      <c r="AF32" s="99" t="s">
        <v>711</v>
      </c>
      <c r="AG32" s="99" t="s">
        <v>711</v>
      </c>
      <c r="AH32" s="98" t="s">
        <v>690</v>
      </c>
      <c r="AI32" s="98">
        <f>DATE(YEAR(D32),MONTH(D32)+1,1)</f>
        <v>28856</v>
      </c>
      <c r="AJ32" s="99" t="str">
        <f>DATEDIF(AI32,AH32,"y")&amp;"t"&amp;DATEDIF(AI32,AH32,"ym")&amp;"th"</f>
        <v>44t0th</v>
      </c>
      <c r="AK32" s="191">
        <f>SUM(AL32:AM32)</f>
        <v>117205620</v>
      </c>
      <c r="AL32" s="103">
        <f>ROUND(3*AD32,0)</f>
        <v>12784200</v>
      </c>
      <c r="AM32" s="163">
        <f>ROUND((VALUE(LEFT(AF32,2)+IF(LEN(AF32)&lt;4,0,IF(VALUE(MID(AF32,4,LEN(AF32)-4))&gt;6,1,IF(VALUE(MID(AF32,4,LEN(AF32)-4))&gt;2,0.5,0)))))*AE32*1.5,0)</f>
        <v>104421420</v>
      </c>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row>
    <row r="33" spans="1:256" s="174" customFormat="1" x14ac:dyDescent="0.25">
      <c r="A33" s="116"/>
      <c r="B33" s="96"/>
      <c r="C33" s="265"/>
      <c r="D33" s="99"/>
      <c r="E33" s="99"/>
      <c r="F33" s="82"/>
      <c r="G33" s="80"/>
      <c r="H33" s="82"/>
      <c r="I33" s="82"/>
      <c r="J33" s="82"/>
      <c r="K33" s="82"/>
      <c r="L33" s="82"/>
      <c r="M33" s="82"/>
      <c r="N33" s="82"/>
      <c r="O33" s="82"/>
      <c r="P33" s="82"/>
      <c r="Q33" s="81"/>
      <c r="R33" s="82"/>
      <c r="S33" s="81"/>
      <c r="T33" s="81">
        <v>43282</v>
      </c>
      <c r="U33" s="264">
        <v>43646</v>
      </c>
      <c r="V33" s="82">
        <f>ROUND(DAYS360(T33,U33,0)/30,0)</f>
        <v>12</v>
      </c>
      <c r="W33" s="99">
        <v>2.46</v>
      </c>
      <c r="X33" s="224"/>
      <c r="Y33" s="112"/>
      <c r="Z33" s="82"/>
      <c r="AA33" s="83">
        <f>W33+X33+Y33*W33+(W33+X33+Y33*W33)*Z33</f>
        <v>2.46</v>
      </c>
      <c r="AB33" s="84">
        <v>1390000</v>
      </c>
      <c r="AC33" s="84">
        <f>V33*AA33*AB33</f>
        <v>41032800</v>
      </c>
      <c r="AD33" s="85"/>
      <c r="AE33" s="85"/>
      <c r="AF33" s="82"/>
      <c r="AG33" s="82"/>
      <c r="AH33" s="82"/>
      <c r="AI33" s="82"/>
      <c r="AJ33" s="82"/>
      <c r="AK33" s="192"/>
      <c r="AL33" s="82"/>
      <c r="AM33" s="99"/>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row>
    <row r="34" spans="1:256" ht="15" customHeight="1" x14ac:dyDescent="0.25">
      <c r="B34" s="96"/>
      <c r="C34" s="265"/>
      <c r="D34" s="99"/>
      <c r="E34" s="99"/>
      <c r="F34" s="82"/>
      <c r="G34" s="80"/>
      <c r="H34" s="82"/>
      <c r="I34" s="82"/>
      <c r="J34" s="82"/>
      <c r="K34" s="82"/>
      <c r="L34" s="82"/>
      <c r="M34" s="82"/>
      <c r="N34" s="82"/>
      <c r="O34" s="82"/>
      <c r="P34" s="82"/>
      <c r="Q34" s="81"/>
      <c r="R34" s="82"/>
      <c r="S34" s="81"/>
      <c r="T34" s="81">
        <v>43647</v>
      </c>
      <c r="U34" s="264">
        <v>44377</v>
      </c>
      <c r="V34" s="82">
        <f>ROUND(DAYS360(T34,U34,0)/30,0)</f>
        <v>24</v>
      </c>
      <c r="W34" s="82">
        <v>2.66</v>
      </c>
      <c r="X34" s="224"/>
      <c r="Y34" s="112"/>
      <c r="Z34" s="82"/>
      <c r="AA34" s="83">
        <f>W34+X34+Y34*W34+(W34+X34+Y34*W34)*Z34</f>
        <v>2.66</v>
      </c>
      <c r="AB34" s="84">
        <v>1490000</v>
      </c>
      <c r="AC34" s="84">
        <f>V34*AA34*AB34</f>
        <v>95121600</v>
      </c>
      <c r="AD34" s="85"/>
      <c r="AE34" s="85"/>
      <c r="AF34" s="82"/>
      <c r="AG34" s="82"/>
      <c r="AH34" s="82"/>
      <c r="AI34" s="82"/>
      <c r="AJ34" s="82"/>
      <c r="AK34" s="192"/>
      <c r="AL34" s="82"/>
      <c r="AM34" s="99"/>
    </row>
    <row r="35" spans="1:256" ht="15" customHeight="1" x14ac:dyDescent="0.25">
      <c r="B35" s="96"/>
      <c r="C35" s="265"/>
      <c r="D35" s="99"/>
      <c r="E35" s="99"/>
      <c r="F35" s="82"/>
      <c r="G35" s="80"/>
      <c r="H35" s="82"/>
      <c r="I35" s="82"/>
      <c r="J35" s="82"/>
      <c r="K35" s="82"/>
      <c r="L35" s="82"/>
      <c r="M35" s="82"/>
      <c r="N35" s="82"/>
      <c r="O35" s="82"/>
      <c r="P35" s="82"/>
      <c r="Q35" s="81"/>
      <c r="R35" s="82"/>
      <c r="S35" s="81"/>
      <c r="T35" s="81">
        <v>44378</v>
      </c>
      <c r="U35" s="264">
        <v>44925</v>
      </c>
      <c r="V35" s="82">
        <f>ROUND(DAYS360(T35,U35,0)/30,0)</f>
        <v>18</v>
      </c>
      <c r="W35" s="82">
        <v>2.86</v>
      </c>
      <c r="X35" s="224"/>
      <c r="Y35" s="112"/>
      <c r="Z35" s="82"/>
      <c r="AA35" s="83">
        <f>W35+X35+Y35*W35+(W35+X35+Y35*W35)*Z35</f>
        <v>2.86</v>
      </c>
      <c r="AB35" s="84">
        <v>1490000</v>
      </c>
      <c r="AC35" s="84">
        <f>V35*AA35*AB35</f>
        <v>76705200</v>
      </c>
      <c r="AD35" s="85"/>
      <c r="AE35" s="85"/>
      <c r="AF35" s="82"/>
      <c r="AG35" s="82"/>
      <c r="AH35" s="82"/>
      <c r="AI35" s="82"/>
      <c r="AJ35" s="82"/>
      <c r="AK35" s="192"/>
      <c r="AL35" s="82"/>
      <c r="AM35" s="99"/>
    </row>
    <row r="36" spans="1:256" x14ac:dyDescent="0.25">
      <c r="B36" s="89"/>
      <c r="C36" s="267"/>
      <c r="D36" s="91"/>
      <c r="E36" s="91"/>
      <c r="F36" s="91"/>
      <c r="G36" s="90"/>
      <c r="H36" s="91"/>
      <c r="I36" s="91"/>
      <c r="J36" s="91"/>
      <c r="K36" s="91"/>
      <c r="L36" s="91"/>
      <c r="M36" s="91"/>
      <c r="N36" s="91"/>
      <c r="O36" s="91"/>
      <c r="P36" s="91"/>
      <c r="Q36" s="92"/>
      <c r="R36" s="91"/>
      <c r="S36" s="91"/>
      <c r="T36" s="92"/>
      <c r="U36" s="92"/>
      <c r="V36" s="91">
        <f>SUM(V32:V35)</f>
        <v>60</v>
      </c>
      <c r="W36" s="93"/>
      <c r="X36" s="92"/>
      <c r="Y36" s="92"/>
      <c r="Z36" s="92"/>
      <c r="AA36" s="93"/>
      <c r="AB36" s="94"/>
      <c r="AC36" s="94">
        <f>SUM(AC32:AC35)</f>
        <v>232047600</v>
      </c>
      <c r="AD36" s="91"/>
      <c r="AE36" s="91"/>
      <c r="AF36" s="91"/>
      <c r="AG36" s="91"/>
      <c r="AH36" s="91"/>
      <c r="AI36" s="91"/>
      <c r="AJ36" s="91"/>
      <c r="AK36" s="193"/>
      <c r="AL36" s="91"/>
      <c r="AM36" s="91"/>
    </row>
    <row r="42" spans="1:256" ht="54" customHeight="1" x14ac:dyDescent="0.25"/>
    <row r="51" spans="1:39" ht="27" x14ac:dyDescent="0.25">
      <c r="A51" s="116" t="s">
        <v>389</v>
      </c>
      <c r="B51" s="96">
        <v>3</v>
      </c>
      <c r="C51" s="285" t="s">
        <v>432</v>
      </c>
      <c r="D51" s="98">
        <v>22900</v>
      </c>
      <c r="E51" s="98"/>
      <c r="F51" s="99"/>
      <c r="G51" s="97" t="s">
        <v>433</v>
      </c>
      <c r="H51" s="100">
        <v>2.4500000000000002</v>
      </c>
      <c r="I51" s="98">
        <v>40057</v>
      </c>
      <c r="J51" s="99"/>
      <c r="K51" s="98"/>
      <c r="L51" s="99"/>
      <c r="M51" s="99"/>
      <c r="N51" s="141"/>
      <c r="O51" s="98"/>
      <c r="P51" s="100"/>
      <c r="Q51" s="98"/>
      <c r="R51" s="100"/>
      <c r="S51" s="98"/>
      <c r="T51" s="98">
        <f>EDATE(AH51,-60)</f>
        <v>40878</v>
      </c>
      <c r="U51" s="98">
        <v>41029</v>
      </c>
      <c r="V51" s="99">
        <f>ROUND(DAYS360(T51,U51,0)/30,0)</f>
        <v>5</v>
      </c>
      <c r="W51" s="99">
        <v>2.4500000000000002</v>
      </c>
      <c r="X51" s="99"/>
      <c r="Y51" s="99"/>
      <c r="Z51" s="99"/>
      <c r="AA51" s="100">
        <f>W51+X51+Y51*W51+(W51+X51+Y51*W51)*Z51</f>
        <v>2.4500000000000002</v>
      </c>
      <c r="AB51" s="101">
        <v>830000</v>
      </c>
      <c r="AC51" s="101">
        <f>V51*AA51*AB51</f>
        <v>10167500</v>
      </c>
      <c r="AD51" s="85">
        <f>AA54*AB54</f>
        <v>2964500</v>
      </c>
      <c r="AE51" s="225">
        <f>AC55/V55</f>
        <v>2712150.0000000005</v>
      </c>
      <c r="AF51" s="99" t="s">
        <v>434</v>
      </c>
      <c r="AG51" s="99"/>
      <c r="AH51" s="98">
        <v>42705</v>
      </c>
      <c r="AI51" s="98">
        <f>DATE(YEAR(D51),MONTH(D51)+1,1)</f>
        <v>22920</v>
      </c>
      <c r="AJ51" s="99" t="str">
        <f>DATEDIF(AI51,AH51,"y")&amp;"t"&amp;DATEDIF(AI51,AH51,"ym")&amp;"th"</f>
        <v>54t2th</v>
      </c>
      <c r="AK51" s="191">
        <f>SUM(AL51:AM51)</f>
        <v>59746313</v>
      </c>
      <c r="AL51" s="103">
        <f>ROUND(3*AD51,0)</f>
        <v>8893500</v>
      </c>
      <c r="AM51" s="103">
        <f>ROUND((VALUE(LEFT(AF51,2)+IF(LEN(AF51)&lt;4,0,IF(VALUE(MID(AF51,4,LEN(AF51)-4))&gt;6,1,IF(VALUE(MID(AF51,4,LEN(AF51)-4))&gt;2,0.5,0)))))*AE51*1.5,0)</f>
        <v>50852813</v>
      </c>
    </row>
    <row r="52" spans="1:39" x14ac:dyDescent="0.25">
      <c r="B52" s="79"/>
      <c r="C52" s="80"/>
      <c r="D52" s="82"/>
      <c r="E52" s="82"/>
      <c r="F52" s="82"/>
      <c r="G52" s="80"/>
      <c r="H52" s="82"/>
      <c r="I52" s="82"/>
      <c r="J52" s="82"/>
      <c r="K52" s="82"/>
      <c r="L52" s="82"/>
      <c r="M52" s="82"/>
      <c r="N52" s="82"/>
      <c r="O52" s="82"/>
      <c r="P52" s="82"/>
      <c r="Q52" s="81"/>
      <c r="R52" s="82"/>
      <c r="S52" s="81"/>
      <c r="T52" s="81">
        <v>41030</v>
      </c>
      <c r="U52" s="81">
        <v>41455</v>
      </c>
      <c r="V52" s="82">
        <f>ROUND(DAYS360(T52,U52,0)/30,0)</f>
        <v>14</v>
      </c>
      <c r="W52" s="99">
        <v>2.4500000000000002</v>
      </c>
      <c r="X52" s="82"/>
      <c r="Y52" s="82"/>
      <c r="Z52" s="82"/>
      <c r="AA52" s="83">
        <f>W52+X52+Y52*W52+(W52+X52+Y52*W52)*Z52</f>
        <v>2.4500000000000002</v>
      </c>
      <c r="AB52" s="84">
        <v>1050000</v>
      </c>
      <c r="AC52" s="84">
        <f>V52*AA52*AB52</f>
        <v>36015000.000000007</v>
      </c>
      <c r="AD52" s="85"/>
      <c r="AE52" s="85"/>
      <c r="AF52" s="82"/>
      <c r="AG52" s="82"/>
      <c r="AH52" s="82"/>
      <c r="AI52" s="82"/>
      <c r="AJ52" s="82"/>
      <c r="AK52" s="192"/>
      <c r="AL52" s="82"/>
      <c r="AM52" s="82"/>
    </row>
    <row r="53" spans="1:39" x14ac:dyDescent="0.25">
      <c r="B53" s="79"/>
      <c r="C53" s="80"/>
      <c r="D53" s="82"/>
      <c r="E53" s="82"/>
      <c r="F53" s="82"/>
      <c r="G53" s="80"/>
      <c r="H53" s="82"/>
      <c r="I53" s="82"/>
      <c r="J53" s="82"/>
      <c r="K53" s="82"/>
      <c r="L53" s="82"/>
      <c r="M53" s="82"/>
      <c r="N53" s="82"/>
      <c r="O53" s="82"/>
      <c r="P53" s="82"/>
      <c r="Q53" s="81"/>
      <c r="R53" s="82"/>
      <c r="S53" s="81"/>
      <c r="T53" s="81">
        <v>41456</v>
      </c>
      <c r="U53" s="81">
        <v>42490</v>
      </c>
      <c r="V53" s="82">
        <f>ROUND(DAYS360(T53,U53,0)/30,0)</f>
        <v>34</v>
      </c>
      <c r="W53" s="99">
        <v>2.4500000000000002</v>
      </c>
      <c r="X53" s="82"/>
      <c r="Y53" s="82"/>
      <c r="Z53" s="82"/>
      <c r="AA53" s="83">
        <f>W53+X53+Y53*W53+(W53+X53+Y53*W53)*Z53</f>
        <v>2.4500000000000002</v>
      </c>
      <c r="AB53" s="84">
        <v>1150000</v>
      </c>
      <c r="AC53" s="84">
        <f>V53*AA53*AB53</f>
        <v>95795000.000000015</v>
      </c>
      <c r="AD53" s="85"/>
      <c r="AE53" s="85"/>
      <c r="AF53" s="82"/>
      <c r="AG53" s="82"/>
      <c r="AH53" s="82"/>
      <c r="AI53" s="82"/>
      <c r="AJ53" s="82"/>
      <c r="AK53" s="192"/>
      <c r="AL53" s="82"/>
      <c r="AM53" s="82"/>
    </row>
    <row r="54" spans="1:39" x14ac:dyDescent="0.25">
      <c r="B54" s="79"/>
      <c r="C54" s="80"/>
      <c r="D54" s="82"/>
      <c r="E54" s="82"/>
      <c r="F54" s="82"/>
      <c r="G54" s="80"/>
      <c r="H54" s="82"/>
      <c r="I54" s="82"/>
      <c r="J54" s="82"/>
      <c r="K54" s="82"/>
      <c r="L54" s="82"/>
      <c r="M54" s="82"/>
      <c r="N54" s="82"/>
      <c r="O54" s="82"/>
      <c r="P54" s="82"/>
      <c r="Q54" s="81"/>
      <c r="R54" s="82"/>
      <c r="S54" s="81"/>
      <c r="T54" s="81">
        <v>42491</v>
      </c>
      <c r="U54" s="81">
        <v>42704</v>
      </c>
      <c r="V54" s="82">
        <f>ROUND(DAYS360(T54,U54,0)/30,0)</f>
        <v>7</v>
      </c>
      <c r="W54" s="99">
        <v>2.4500000000000002</v>
      </c>
      <c r="X54" s="82"/>
      <c r="Y54" s="112"/>
      <c r="Z54" s="82"/>
      <c r="AA54" s="83">
        <f>W54+X54+Y54*W54+(W54+X54+Y54*W54)*Z54</f>
        <v>2.4500000000000002</v>
      </c>
      <c r="AB54" s="84">
        <v>1210000</v>
      </c>
      <c r="AC54" s="84">
        <f>V54*AA54*AB54</f>
        <v>20751500.000000004</v>
      </c>
      <c r="AD54" s="85"/>
      <c r="AE54" s="85"/>
      <c r="AF54" s="82"/>
      <c r="AG54" s="82"/>
      <c r="AH54" s="82"/>
      <c r="AI54" s="82"/>
      <c r="AJ54" s="82"/>
      <c r="AK54" s="192"/>
      <c r="AL54" s="82"/>
      <c r="AM54" s="82"/>
    </row>
    <row r="55" spans="1:39" x14ac:dyDescent="0.25">
      <c r="B55" s="89"/>
      <c r="C55" s="90"/>
      <c r="D55" s="91"/>
      <c r="E55" s="91"/>
      <c r="F55" s="91"/>
      <c r="G55" s="90"/>
      <c r="H55" s="91"/>
      <c r="I55" s="91"/>
      <c r="J55" s="91"/>
      <c r="K55" s="91"/>
      <c r="L55" s="91"/>
      <c r="M55" s="91"/>
      <c r="N55" s="91"/>
      <c r="O55" s="91"/>
      <c r="P55" s="91"/>
      <c r="Q55" s="92"/>
      <c r="R55" s="91"/>
      <c r="S55" s="91"/>
      <c r="T55" s="92"/>
      <c r="U55" s="92"/>
      <c r="V55" s="91">
        <f>SUM(V51:V54)</f>
        <v>60</v>
      </c>
      <c r="W55" s="93"/>
      <c r="X55" s="92"/>
      <c r="Y55" s="92"/>
      <c r="Z55" s="92"/>
      <c r="AA55" s="93"/>
      <c r="AB55" s="94"/>
      <c r="AC55" s="94">
        <f>SUM(AC51:AC54)</f>
        <v>162729000.00000003</v>
      </c>
      <c r="AD55" s="91"/>
      <c r="AE55" s="91"/>
      <c r="AF55" s="91"/>
      <c r="AG55" s="91"/>
      <c r="AH55" s="91"/>
      <c r="AI55" s="91"/>
      <c r="AJ55" s="91"/>
      <c r="AK55" s="193"/>
      <c r="AL55" s="91"/>
      <c r="AM55" s="91"/>
    </row>
  </sheetData>
  <mergeCells count="34">
    <mergeCell ref="AJ13:AJ14"/>
    <mergeCell ref="AK13:AM13"/>
    <mergeCell ref="AD13:AD14"/>
    <mergeCell ref="AE13:AE14"/>
    <mergeCell ref="AF13:AG13"/>
    <mergeCell ref="AH13:AH14"/>
    <mergeCell ref="AI13:AI14"/>
    <mergeCell ref="B8:AM8"/>
    <mergeCell ref="B9:AN9"/>
    <mergeCell ref="B10:AN10"/>
    <mergeCell ref="B11:AN11"/>
    <mergeCell ref="B13:B14"/>
    <mergeCell ref="C13:C14"/>
    <mergeCell ref="D13:D14"/>
    <mergeCell ref="F13:F14"/>
    <mergeCell ref="G13:G14"/>
    <mergeCell ref="H13:I13"/>
    <mergeCell ref="J13:K13"/>
    <mergeCell ref="L13:M13"/>
    <mergeCell ref="N13:O13"/>
    <mergeCell ref="P13:Q13"/>
    <mergeCell ref="R13:S13"/>
    <mergeCell ref="T13:AC13"/>
    <mergeCell ref="B4:F4"/>
    <mergeCell ref="AD4:AM4"/>
    <mergeCell ref="B5:F5"/>
    <mergeCell ref="AD5:AM5"/>
    <mergeCell ref="B7:AM7"/>
    <mergeCell ref="B1:F1"/>
    <mergeCell ref="AK1:AM1"/>
    <mergeCell ref="B2:F2"/>
    <mergeCell ref="AD2:AM2"/>
    <mergeCell ref="B3:F3"/>
    <mergeCell ref="AD3:AM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P38"/>
  <sheetViews>
    <sheetView topLeftCell="A8" workbookViewId="0">
      <selection activeCell="M12" sqref="M12:O12"/>
    </sheetView>
  </sheetViews>
  <sheetFormatPr defaultRowHeight="15" x14ac:dyDescent="0.25"/>
  <cols>
    <col min="1" max="1" width="4.28515625" customWidth="1"/>
    <col min="2" max="2" width="18.85546875" customWidth="1"/>
    <col min="20" max="24" width="5.42578125" customWidth="1"/>
    <col min="25" max="25" width="6.140625" customWidth="1"/>
    <col min="26" max="26" width="8.5703125" customWidth="1"/>
    <col min="27" max="27" width="10.140625" customWidth="1"/>
    <col min="29" max="29" width="10.85546875" bestFit="1" customWidth="1"/>
    <col min="37" max="39" width="9.5703125" bestFit="1" customWidth="1"/>
  </cols>
  <sheetData>
    <row r="1" spans="1:42" ht="15.75" x14ac:dyDescent="0.25">
      <c r="A1" s="726" t="s">
        <v>50</v>
      </c>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row>
    <row r="2" spans="1:42" x14ac:dyDescent="0.25">
      <c r="A2" s="727" t="s">
        <v>0</v>
      </c>
      <c r="B2" s="727"/>
      <c r="C2" s="727"/>
      <c r="D2" s="727"/>
      <c r="E2" s="727"/>
      <c r="F2" s="727"/>
      <c r="G2" s="727"/>
      <c r="H2" s="727"/>
      <c r="I2" s="727"/>
      <c r="J2" s="727"/>
      <c r="K2" s="727"/>
      <c r="L2" s="727"/>
      <c r="M2" s="727"/>
      <c r="N2" s="727"/>
      <c r="O2" s="727"/>
      <c r="P2" s="727"/>
      <c r="Q2" s="727"/>
      <c r="R2" s="727"/>
      <c r="S2" s="727"/>
      <c r="T2" s="727"/>
      <c r="U2" s="727"/>
      <c r="V2" s="727"/>
      <c r="W2" s="727"/>
      <c r="X2" s="727"/>
      <c r="Y2" s="727"/>
      <c r="Z2" s="727"/>
      <c r="AA2" s="727"/>
      <c r="AB2" s="727"/>
      <c r="AC2" s="727"/>
      <c r="AD2" s="727"/>
      <c r="AE2" s="727"/>
      <c r="AF2" s="727"/>
      <c r="AG2" s="727"/>
      <c r="AH2" s="727"/>
      <c r="AI2" s="727"/>
      <c r="AJ2" s="727"/>
      <c r="AK2" s="727"/>
      <c r="AL2" s="727"/>
      <c r="AM2" s="727"/>
      <c r="AN2" s="727"/>
    </row>
    <row r="3" spans="1:42" x14ac:dyDescent="0.25">
      <c r="A3" s="729" t="s">
        <v>134</v>
      </c>
      <c r="B3" s="729"/>
      <c r="C3" s="729"/>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62"/>
      <c r="AM3" s="62"/>
      <c r="AN3" s="62"/>
      <c r="AO3" s="62"/>
      <c r="AP3" s="62"/>
    </row>
    <row r="4" spans="1:42" x14ac:dyDescent="0.25">
      <c r="A4" s="729" t="s">
        <v>135</v>
      </c>
      <c r="B4" s="729"/>
      <c r="C4" s="729"/>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row>
    <row r="5" spans="1:42" s="63" customFormat="1" ht="19.5" x14ac:dyDescent="0.3">
      <c r="A5" s="728" t="s">
        <v>51</v>
      </c>
      <c r="B5" s="728"/>
      <c r="C5" s="728"/>
      <c r="D5" s="728"/>
      <c r="E5" s="728"/>
      <c r="F5" s="728"/>
      <c r="G5" s="728"/>
      <c r="H5" s="728"/>
      <c r="I5" s="728"/>
      <c r="J5" s="728"/>
      <c r="K5" s="728"/>
      <c r="L5" s="728"/>
      <c r="M5" s="728"/>
      <c r="N5" s="728"/>
      <c r="O5" s="728"/>
      <c r="P5" s="728"/>
      <c r="Q5" s="728"/>
      <c r="R5" s="728"/>
      <c r="S5" s="728"/>
      <c r="T5" s="728"/>
      <c r="U5" s="728"/>
      <c r="V5" s="728"/>
      <c r="W5" s="728"/>
      <c r="X5" s="728"/>
      <c r="Y5" s="728"/>
      <c r="Z5" s="728"/>
      <c r="AA5" s="728"/>
      <c r="AB5" s="728"/>
      <c r="AC5" s="728"/>
      <c r="AD5" s="728"/>
      <c r="AE5" s="728"/>
      <c r="AF5" s="728"/>
      <c r="AG5" s="728"/>
      <c r="AH5" s="728"/>
      <c r="AI5" s="728"/>
      <c r="AJ5" s="728"/>
      <c r="AK5" s="728"/>
      <c r="AL5" s="728"/>
      <c r="AM5" s="728"/>
      <c r="AN5" s="728"/>
    </row>
    <row r="6" spans="1:42" ht="15.75" thickBot="1" x14ac:dyDescent="0.3">
      <c r="A6" s="730" t="s">
        <v>52</v>
      </c>
      <c r="B6" s="730"/>
      <c r="C6" s="730"/>
      <c r="D6" s="730"/>
      <c r="E6" s="730"/>
      <c r="F6" s="730"/>
      <c r="G6" s="730"/>
      <c r="H6" s="730"/>
      <c r="I6" s="730"/>
      <c r="J6" s="730"/>
      <c r="K6" s="730"/>
      <c r="L6" s="730"/>
      <c r="M6" s="730"/>
      <c r="N6" s="730"/>
      <c r="O6" s="730"/>
      <c r="P6" s="730"/>
      <c r="Q6" s="730"/>
      <c r="R6" s="730"/>
      <c r="S6" s="730"/>
      <c r="T6" s="730"/>
      <c r="U6" s="730"/>
      <c r="V6" s="730"/>
      <c r="W6" s="730"/>
      <c r="X6" s="730"/>
      <c r="Y6" s="730"/>
      <c r="Z6" s="730"/>
      <c r="AA6" s="730"/>
      <c r="AB6" s="730"/>
      <c r="AC6" s="730"/>
      <c r="AD6" s="730"/>
      <c r="AE6" s="730"/>
      <c r="AF6" s="730"/>
      <c r="AG6" s="730"/>
      <c r="AH6" s="730"/>
      <c r="AI6" s="730"/>
      <c r="AJ6" s="730"/>
      <c r="AK6" s="730"/>
      <c r="AL6" s="730"/>
      <c r="AM6" s="730"/>
      <c r="AN6" s="730"/>
    </row>
    <row r="7" spans="1:42" ht="33.75" customHeight="1" thickBot="1" x14ac:dyDescent="0.3">
      <c r="A7" s="722" t="s">
        <v>3</v>
      </c>
      <c r="B7" s="722" t="s">
        <v>4</v>
      </c>
      <c r="C7" s="722" t="s">
        <v>5</v>
      </c>
      <c r="D7" s="722" t="s">
        <v>6</v>
      </c>
      <c r="E7" s="722" t="s">
        <v>7</v>
      </c>
      <c r="F7" s="724" t="s">
        <v>8</v>
      </c>
      <c r="G7" s="725"/>
      <c r="H7" s="724" t="s">
        <v>9</v>
      </c>
      <c r="I7" s="725"/>
      <c r="J7" s="724" t="s">
        <v>10</v>
      </c>
      <c r="K7" s="725"/>
      <c r="L7" s="724" t="s">
        <v>11</v>
      </c>
      <c r="M7" s="725"/>
      <c r="N7" s="724" t="s">
        <v>12</v>
      </c>
      <c r="O7" s="725"/>
      <c r="P7" s="724" t="s">
        <v>13</v>
      </c>
      <c r="Q7" s="725"/>
      <c r="R7" s="717" t="s">
        <v>83</v>
      </c>
      <c r="S7" s="718"/>
      <c r="T7" s="718"/>
      <c r="U7" s="718"/>
      <c r="V7" s="718"/>
      <c r="W7" s="718"/>
      <c r="X7" s="718"/>
      <c r="Y7" s="718"/>
      <c r="Z7" s="718"/>
      <c r="AA7" s="719"/>
      <c r="AB7" s="722" t="s">
        <v>98</v>
      </c>
      <c r="AC7" s="722" t="s">
        <v>99</v>
      </c>
      <c r="AD7" s="724" t="s">
        <v>14</v>
      </c>
      <c r="AE7" s="725"/>
      <c r="AF7" s="722" t="s">
        <v>15</v>
      </c>
      <c r="AG7" s="717" t="s">
        <v>16</v>
      </c>
      <c r="AH7" s="718"/>
      <c r="AI7" s="719"/>
      <c r="AJ7" s="722" t="s">
        <v>16</v>
      </c>
      <c r="AK7" s="720" t="s">
        <v>94</v>
      </c>
      <c r="AL7" s="720" t="s">
        <v>102</v>
      </c>
      <c r="AM7" s="722" t="s">
        <v>96</v>
      </c>
      <c r="AN7" s="722" t="s">
        <v>17</v>
      </c>
    </row>
    <row r="8" spans="1:42" ht="102" thickBot="1" x14ac:dyDescent="0.3">
      <c r="A8" s="723"/>
      <c r="B8" s="723"/>
      <c r="C8" s="723"/>
      <c r="D8" s="723"/>
      <c r="E8" s="723"/>
      <c r="F8" s="1" t="s">
        <v>18</v>
      </c>
      <c r="G8" s="1" t="s">
        <v>19</v>
      </c>
      <c r="H8" s="1" t="s">
        <v>20</v>
      </c>
      <c r="I8" s="1" t="s">
        <v>19</v>
      </c>
      <c r="J8" s="1" t="s">
        <v>21</v>
      </c>
      <c r="K8" s="1" t="s">
        <v>19</v>
      </c>
      <c r="L8" s="1" t="s">
        <v>21</v>
      </c>
      <c r="M8" s="1" t="s">
        <v>19</v>
      </c>
      <c r="N8" s="1" t="s">
        <v>20</v>
      </c>
      <c r="O8" s="1" t="s">
        <v>19</v>
      </c>
      <c r="P8" s="1" t="s">
        <v>20</v>
      </c>
      <c r="Q8" s="1" t="s">
        <v>19</v>
      </c>
      <c r="R8" s="24" t="s">
        <v>84</v>
      </c>
      <c r="S8" s="24" t="s">
        <v>85</v>
      </c>
      <c r="T8" s="24" t="s">
        <v>86</v>
      </c>
      <c r="U8" s="24" t="s">
        <v>20</v>
      </c>
      <c r="V8" s="24" t="s">
        <v>87</v>
      </c>
      <c r="W8" s="24" t="s">
        <v>91</v>
      </c>
      <c r="X8" s="24" t="s">
        <v>92</v>
      </c>
      <c r="Y8" s="24" t="s">
        <v>90</v>
      </c>
      <c r="Z8" s="24" t="s">
        <v>88</v>
      </c>
      <c r="AA8" s="24" t="s">
        <v>89</v>
      </c>
      <c r="AB8" s="723"/>
      <c r="AC8" s="723"/>
      <c r="AD8" s="1" t="s">
        <v>22</v>
      </c>
      <c r="AE8" s="1" t="s">
        <v>23</v>
      </c>
      <c r="AF8" s="723"/>
      <c r="AG8" s="67" t="s">
        <v>138</v>
      </c>
      <c r="AH8" s="67" t="s">
        <v>139</v>
      </c>
      <c r="AI8" s="67" t="s">
        <v>140</v>
      </c>
      <c r="AJ8" s="723"/>
      <c r="AK8" s="721"/>
      <c r="AL8" s="721"/>
      <c r="AM8" s="723"/>
      <c r="AN8" s="723"/>
    </row>
    <row r="9" spans="1:42" ht="15.75" thickBot="1" x14ac:dyDescent="0.3">
      <c r="A9" s="6"/>
      <c r="B9" s="1" t="s">
        <v>28</v>
      </c>
      <c r="C9" s="1">
        <v>1</v>
      </c>
      <c r="D9" s="1">
        <v>2</v>
      </c>
      <c r="E9" s="1">
        <v>3</v>
      </c>
      <c r="F9" s="1">
        <v>4</v>
      </c>
      <c r="G9" s="1">
        <v>5</v>
      </c>
      <c r="H9" s="1">
        <v>6</v>
      </c>
      <c r="I9" s="1">
        <v>7</v>
      </c>
      <c r="J9" s="1">
        <v>8</v>
      </c>
      <c r="K9" s="1">
        <v>9</v>
      </c>
      <c r="L9" s="1">
        <v>10</v>
      </c>
      <c r="M9" s="1">
        <v>11</v>
      </c>
      <c r="N9" s="1">
        <v>12</v>
      </c>
      <c r="O9" s="1">
        <v>13</v>
      </c>
      <c r="P9" s="1">
        <v>14</v>
      </c>
      <c r="Q9" s="1">
        <v>15</v>
      </c>
      <c r="R9" s="2"/>
      <c r="S9" s="2"/>
      <c r="T9" s="2"/>
      <c r="U9" s="2"/>
      <c r="V9" s="2"/>
      <c r="W9" s="2"/>
      <c r="X9" s="2"/>
      <c r="Y9" s="2"/>
      <c r="Z9" s="2"/>
      <c r="AA9" s="2"/>
      <c r="AB9" s="1">
        <v>16</v>
      </c>
      <c r="AC9" s="1">
        <v>17</v>
      </c>
      <c r="AD9" s="1">
        <v>18</v>
      </c>
      <c r="AE9" s="1">
        <v>19</v>
      </c>
      <c r="AF9" s="1">
        <v>20</v>
      </c>
      <c r="AG9" s="1"/>
      <c r="AH9" s="1"/>
      <c r="AI9" s="1"/>
      <c r="AJ9" s="1">
        <v>21</v>
      </c>
      <c r="AK9" s="1"/>
      <c r="AL9" s="1"/>
      <c r="AM9" s="1">
        <v>22</v>
      </c>
      <c r="AN9" s="1">
        <v>23</v>
      </c>
    </row>
    <row r="10" spans="1:42" x14ac:dyDescent="0.25">
      <c r="A10" s="32" t="s">
        <v>28</v>
      </c>
      <c r="B10" s="75" t="s">
        <v>30</v>
      </c>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P10" s="28"/>
    </row>
    <row r="11" spans="1:42" x14ac:dyDescent="0.25">
      <c r="A11" s="45" t="s">
        <v>141</v>
      </c>
      <c r="B11" s="76" t="s">
        <v>142</v>
      </c>
      <c r="C11" s="46"/>
      <c r="D11" s="46"/>
      <c r="E11" s="46"/>
      <c r="F11" s="46"/>
      <c r="G11" s="46"/>
      <c r="H11" s="46"/>
      <c r="I11" s="46"/>
      <c r="J11" s="46"/>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P11" s="28"/>
    </row>
    <row r="12" spans="1:42" x14ac:dyDescent="0.25">
      <c r="A12" s="34">
        <v>1</v>
      </c>
      <c r="B12" s="35" t="s">
        <v>143</v>
      </c>
      <c r="C12" s="37">
        <v>23032</v>
      </c>
      <c r="D12" s="36"/>
      <c r="E12" s="36"/>
      <c r="F12" s="38">
        <v>3.33</v>
      </c>
      <c r="G12" s="37">
        <v>42156</v>
      </c>
      <c r="H12" s="36">
        <v>0.25</v>
      </c>
      <c r="I12" s="37">
        <v>39965</v>
      </c>
      <c r="J12" s="36"/>
      <c r="K12" s="36"/>
      <c r="L12" s="36"/>
      <c r="M12" s="36"/>
      <c r="N12" s="36"/>
      <c r="O12" s="36"/>
      <c r="P12" s="38">
        <v>3</v>
      </c>
      <c r="Q12" s="37">
        <f>EDATE(G12,-(3*12))</f>
        <v>41061</v>
      </c>
      <c r="R12" s="37">
        <f>EDATE(AF12,-60)</f>
        <v>40391</v>
      </c>
      <c r="S12" s="37">
        <v>40663</v>
      </c>
      <c r="T12" s="36">
        <f t="shared" ref="T12:T17" si="0">ROUND(DAYS360(R12,S12,0)/30,0)</f>
        <v>9</v>
      </c>
      <c r="U12" s="36">
        <v>2.67</v>
      </c>
      <c r="V12" s="36">
        <v>0.25</v>
      </c>
      <c r="W12" s="36"/>
      <c r="X12" s="36"/>
      <c r="Y12" s="38">
        <f t="shared" ref="Y12:Y17" si="1">U12+V12+W12*U12+(U12+V12+W12*U12)*X12</f>
        <v>2.92</v>
      </c>
      <c r="Z12" s="39">
        <v>730000</v>
      </c>
      <c r="AA12" s="39">
        <f t="shared" ref="AA12:AA17" si="2">T12*Y12*Z12</f>
        <v>19184400</v>
      </c>
      <c r="AB12" s="69">
        <f>Z17*Y17</f>
        <v>4117000</v>
      </c>
      <c r="AC12" s="69">
        <f>ROUND(AA18/60,0)</f>
        <v>3164877</v>
      </c>
      <c r="AD12" s="36" t="s">
        <v>144</v>
      </c>
      <c r="AE12" s="36"/>
      <c r="AF12" s="70">
        <v>42217</v>
      </c>
      <c r="AG12" s="36">
        <f>DATEDIF(C12,AF12,"y")</f>
        <v>52</v>
      </c>
      <c r="AH12" s="36">
        <f>DATEDIF(C12,AF12,"ym")</f>
        <v>6</v>
      </c>
      <c r="AI12" s="36">
        <f>DATEDIF(C12,AF12,"md")</f>
        <v>11</v>
      </c>
      <c r="AJ12" s="36" t="str">
        <f>IF(AH12=0,AG12&amp;"t",IF(AND(AH12=11,AI12&gt;14),(AG12+1)&amp;"t",IF(AI12&gt;14,AG12&amp;"t"&amp;(AH12+1)&amp;"th",AG12&amp;"t"&amp;AH12&amp;"th")))</f>
        <v>52t6th</v>
      </c>
      <c r="AK12" s="69">
        <f>3*AB12</f>
        <v>12351000</v>
      </c>
      <c r="AL12" s="69">
        <f>(VALUE(LEFT(AD12,2)+IF(LEN(AD12)&lt;4,0,IF(VALUE(MID(AD12,4,LEN(AD12)-4))&gt;6,1,IF(VALUE(MID(AD12,4,LEN(AD12)-4))&gt;2,0.5,0)))))*AC12*1/2</f>
        <v>41143401</v>
      </c>
      <c r="AM12" s="71">
        <f>SUM(AK12:AL12)</f>
        <v>53494401</v>
      </c>
      <c r="AN12" s="36"/>
      <c r="AP12" s="28"/>
    </row>
    <row r="13" spans="1:42" x14ac:dyDescent="0.25">
      <c r="A13" s="34"/>
      <c r="B13" s="35"/>
      <c r="C13" s="36"/>
      <c r="D13" s="36"/>
      <c r="E13" s="36"/>
      <c r="F13" s="38"/>
      <c r="G13" s="37"/>
      <c r="H13" s="36"/>
      <c r="I13" s="36"/>
      <c r="J13" s="36"/>
      <c r="K13" s="36"/>
      <c r="L13" s="36"/>
      <c r="M13" s="36"/>
      <c r="N13" s="36"/>
      <c r="O13" s="36"/>
      <c r="P13" s="38">
        <f>P12-0.33</f>
        <v>2.67</v>
      </c>
      <c r="Q13" s="37">
        <f>EDATE(Q12,-3*12)</f>
        <v>39965</v>
      </c>
      <c r="R13" s="37">
        <v>40664</v>
      </c>
      <c r="S13" s="37">
        <v>41029</v>
      </c>
      <c r="T13" s="36">
        <f t="shared" si="0"/>
        <v>12</v>
      </c>
      <c r="U13" s="36">
        <v>2.67</v>
      </c>
      <c r="V13" s="36">
        <v>0.25</v>
      </c>
      <c r="W13" s="36"/>
      <c r="X13" s="36"/>
      <c r="Y13" s="38">
        <f t="shared" si="1"/>
        <v>2.92</v>
      </c>
      <c r="Z13" s="39">
        <v>830000</v>
      </c>
      <c r="AA13" s="39">
        <f t="shared" si="2"/>
        <v>29083200</v>
      </c>
      <c r="AB13" s="36"/>
      <c r="AC13" s="36"/>
      <c r="AD13" s="36"/>
      <c r="AE13" s="36"/>
      <c r="AF13" s="37"/>
      <c r="AG13" s="37"/>
      <c r="AH13" s="37"/>
      <c r="AI13" s="37"/>
      <c r="AJ13" s="36"/>
      <c r="AK13" s="36"/>
      <c r="AL13" s="69"/>
      <c r="AM13" s="36"/>
      <c r="AN13" s="36"/>
    </row>
    <row r="14" spans="1:42" x14ac:dyDescent="0.25">
      <c r="A14" s="34"/>
      <c r="B14" s="35"/>
      <c r="C14" s="36"/>
      <c r="D14" s="36"/>
      <c r="E14" s="36"/>
      <c r="F14" s="38"/>
      <c r="G14" s="37"/>
      <c r="H14" s="36"/>
      <c r="I14" s="36"/>
      <c r="J14" s="36"/>
      <c r="K14" s="36"/>
      <c r="L14" s="36"/>
      <c r="M14" s="36"/>
      <c r="N14" s="36"/>
      <c r="O14" s="36"/>
      <c r="P14" s="36"/>
      <c r="Q14" s="36"/>
      <c r="R14" s="37">
        <v>41030</v>
      </c>
      <c r="S14" s="37">
        <v>41060</v>
      </c>
      <c r="T14" s="36">
        <f t="shared" si="0"/>
        <v>1</v>
      </c>
      <c r="U14" s="38">
        <v>2.67</v>
      </c>
      <c r="V14" s="36">
        <v>0.25</v>
      </c>
      <c r="W14" s="36"/>
      <c r="X14" s="36"/>
      <c r="Y14" s="38">
        <f t="shared" si="1"/>
        <v>2.92</v>
      </c>
      <c r="Z14" s="39">
        <v>1050000</v>
      </c>
      <c r="AA14" s="39">
        <f t="shared" si="2"/>
        <v>3066000</v>
      </c>
      <c r="AB14" s="36"/>
      <c r="AC14" s="36"/>
      <c r="AD14" s="36"/>
      <c r="AE14" s="36"/>
      <c r="AF14" s="37"/>
      <c r="AG14" s="37"/>
      <c r="AH14" s="37"/>
      <c r="AI14" s="37"/>
      <c r="AJ14" s="36"/>
      <c r="AK14" s="36"/>
      <c r="AL14" s="36"/>
      <c r="AM14" s="36"/>
      <c r="AN14" s="36"/>
    </row>
    <row r="15" spans="1:42" x14ac:dyDescent="0.25">
      <c r="A15" s="34"/>
      <c r="B15" s="35"/>
      <c r="C15" s="36"/>
      <c r="D15" s="36"/>
      <c r="E15" s="36"/>
      <c r="F15" s="38"/>
      <c r="G15" s="37"/>
      <c r="H15" s="36"/>
      <c r="I15" s="36"/>
      <c r="J15" s="36"/>
      <c r="K15" s="36"/>
      <c r="L15" s="36"/>
      <c r="M15" s="36"/>
      <c r="N15" s="36"/>
      <c r="O15" s="36"/>
      <c r="P15" s="36"/>
      <c r="Q15" s="36"/>
      <c r="R15" s="37">
        <v>41061</v>
      </c>
      <c r="S15" s="37">
        <v>41455</v>
      </c>
      <c r="T15" s="36">
        <f t="shared" si="0"/>
        <v>13</v>
      </c>
      <c r="U15" s="38">
        <v>3</v>
      </c>
      <c r="V15" s="36">
        <v>0.25</v>
      </c>
      <c r="W15" s="36"/>
      <c r="X15" s="36"/>
      <c r="Y15" s="38">
        <f t="shared" si="1"/>
        <v>3.25</v>
      </c>
      <c r="Z15" s="39">
        <v>1050000</v>
      </c>
      <c r="AA15" s="39">
        <f t="shared" si="2"/>
        <v>44362500</v>
      </c>
      <c r="AB15" s="36"/>
      <c r="AC15" s="36"/>
      <c r="AD15" s="36"/>
      <c r="AE15" s="36"/>
      <c r="AF15" s="37"/>
      <c r="AG15" s="37"/>
      <c r="AH15" s="37"/>
      <c r="AI15" s="37"/>
      <c r="AJ15" s="36"/>
      <c r="AK15" s="36"/>
      <c r="AL15" s="36"/>
      <c r="AM15" s="36"/>
      <c r="AN15" s="36"/>
    </row>
    <row r="16" spans="1:42" x14ac:dyDescent="0.25">
      <c r="A16" s="34"/>
      <c r="B16" s="35"/>
      <c r="C16" s="36"/>
      <c r="D16" s="36"/>
      <c r="E16" s="36"/>
      <c r="F16" s="38"/>
      <c r="G16" s="37"/>
      <c r="H16" s="36"/>
      <c r="I16" s="36"/>
      <c r="J16" s="36"/>
      <c r="K16" s="36"/>
      <c r="L16" s="36"/>
      <c r="M16" s="36"/>
      <c r="N16" s="36"/>
      <c r="O16" s="36"/>
      <c r="P16" s="36"/>
      <c r="Q16" s="36"/>
      <c r="R16" s="37">
        <v>41456</v>
      </c>
      <c r="S16" s="37">
        <v>42155</v>
      </c>
      <c r="T16" s="36">
        <f t="shared" si="0"/>
        <v>23</v>
      </c>
      <c r="U16" s="38">
        <v>3</v>
      </c>
      <c r="V16" s="36">
        <v>0.25</v>
      </c>
      <c r="W16" s="36"/>
      <c r="X16" s="36"/>
      <c r="Y16" s="38">
        <f t="shared" si="1"/>
        <v>3.25</v>
      </c>
      <c r="Z16" s="39">
        <v>1150000</v>
      </c>
      <c r="AA16" s="39">
        <f t="shared" si="2"/>
        <v>85962500</v>
      </c>
      <c r="AB16" s="36"/>
      <c r="AC16" s="36"/>
      <c r="AD16" s="36"/>
      <c r="AE16" s="36"/>
      <c r="AF16" s="37"/>
      <c r="AG16" s="37"/>
      <c r="AH16" s="37"/>
      <c r="AI16" s="37"/>
      <c r="AJ16" s="36"/>
      <c r="AK16" s="36"/>
      <c r="AL16" s="36"/>
      <c r="AM16" s="36"/>
      <c r="AN16" s="36"/>
    </row>
    <row r="17" spans="1:42" x14ac:dyDescent="0.25">
      <c r="A17" s="34"/>
      <c r="B17" s="35"/>
      <c r="C17" s="36"/>
      <c r="D17" s="36"/>
      <c r="E17" s="36"/>
      <c r="F17" s="38"/>
      <c r="G17" s="37"/>
      <c r="H17" s="36"/>
      <c r="I17" s="36"/>
      <c r="J17" s="36"/>
      <c r="K17" s="36"/>
      <c r="L17" s="36"/>
      <c r="M17" s="36"/>
      <c r="N17" s="36"/>
      <c r="O17" s="36"/>
      <c r="P17" s="36"/>
      <c r="Q17" s="36"/>
      <c r="R17" s="37">
        <v>42156</v>
      </c>
      <c r="S17" s="37">
        <v>42217</v>
      </c>
      <c r="T17" s="36">
        <f t="shared" si="0"/>
        <v>2</v>
      </c>
      <c r="U17" s="38">
        <v>3.33</v>
      </c>
      <c r="V17" s="36">
        <v>0.25</v>
      </c>
      <c r="W17" s="36"/>
      <c r="X17" s="36"/>
      <c r="Y17" s="38">
        <f t="shared" si="1"/>
        <v>3.58</v>
      </c>
      <c r="Z17" s="39">
        <v>1150000</v>
      </c>
      <c r="AA17" s="39">
        <f t="shared" si="2"/>
        <v>8234000</v>
      </c>
      <c r="AB17" s="36"/>
      <c r="AC17" s="36"/>
      <c r="AD17" s="36"/>
      <c r="AE17" s="36"/>
      <c r="AF17" s="37"/>
      <c r="AG17" s="37"/>
      <c r="AH17" s="37"/>
      <c r="AI17" s="37"/>
      <c r="AJ17" s="36"/>
      <c r="AK17" s="36"/>
      <c r="AL17" s="36"/>
      <c r="AM17" s="36"/>
      <c r="AN17" s="36"/>
    </row>
    <row r="18" spans="1:42" x14ac:dyDescent="0.25">
      <c r="A18" s="34"/>
      <c r="B18" s="35"/>
      <c r="C18" s="36"/>
      <c r="D18" s="36"/>
      <c r="E18" s="36"/>
      <c r="F18" s="36"/>
      <c r="G18" s="36"/>
      <c r="H18" s="36"/>
      <c r="I18" s="36"/>
      <c r="J18" s="36"/>
      <c r="K18" s="36"/>
      <c r="L18" s="36"/>
      <c r="M18" s="36"/>
      <c r="N18" s="36"/>
      <c r="O18" s="36"/>
      <c r="P18" s="36"/>
      <c r="Q18" s="36"/>
      <c r="R18" s="37"/>
      <c r="S18" s="37"/>
      <c r="T18" s="36">
        <f>SUM(T12:T17)</f>
        <v>60</v>
      </c>
      <c r="U18" s="38"/>
      <c r="V18" s="37"/>
      <c r="W18" s="37"/>
      <c r="X18" s="37"/>
      <c r="Y18" s="38"/>
      <c r="Z18" s="39"/>
      <c r="AA18" s="39">
        <f>SUM(AA12:AA17)</f>
        <v>189892600</v>
      </c>
      <c r="AB18" s="36"/>
      <c r="AC18" s="36"/>
      <c r="AD18" s="36"/>
      <c r="AE18" s="36"/>
      <c r="AF18" s="36"/>
      <c r="AG18" s="36"/>
      <c r="AH18" s="36"/>
      <c r="AI18" s="36"/>
      <c r="AJ18" s="36"/>
      <c r="AK18" s="36"/>
      <c r="AL18" s="36"/>
      <c r="AM18" s="36"/>
      <c r="AN18" s="36"/>
    </row>
    <row r="19" spans="1:42" x14ac:dyDescent="0.25">
      <c r="A19" s="34" t="s">
        <v>32</v>
      </c>
      <c r="B19" s="35" t="s">
        <v>33</v>
      </c>
      <c r="C19" s="36"/>
      <c r="D19" s="36"/>
      <c r="E19" s="36"/>
      <c r="F19" s="36"/>
      <c r="G19" s="36"/>
      <c r="H19" s="36"/>
      <c r="I19" s="36"/>
      <c r="J19" s="36"/>
      <c r="K19" s="36"/>
      <c r="L19" s="36"/>
      <c r="M19" s="36"/>
      <c r="N19" s="36"/>
      <c r="O19" s="36"/>
      <c r="P19" s="36"/>
      <c r="Q19" s="36"/>
      <c r="R19" s="37"/>
      <c r="S19" s="37"/>
      <c r="T19" s="36"/>
      <c r="U19" s="38"/>
      <c r="V19" s="37"/>
      <c r="W19" s="37"/>
      <c r="X19" s="37"/>
      <c r="Y19" s="38"/>
      <c r="Z19" s="39"/>
      <c r="AA19" s="39"/>
      <c r="AB19" s="36"/>
      <c r="AC19" s="36"/>
      <c r="AD19" s="36"/>
      <c r="AE19" s="36"/>
      <c r="AF19" s="36"/>
      <c r="AG19" s="36"/>
      <c r="AH19" s="36"/>
      <c r="AI19" s="36"/>
      <c r="AJ19" s="36"/>
      <c r="AK19" s="36"/>
      <c r="AL19" s="36"/>
      <c r="AM19" s="36"/>
      <c r="AN19" s="36"/>
    </row>
    <row r="20" spans="1:42" x14ac:dyDescent="0.25">
      <c r="A20" s="34"/>
      <c r="B20" s="35" t="s">
        <v>31</v>
      </c>
      <c r="C20" s="36"/>
      <c r="D20" s="36"/>
      <c r="E20" s="36"/>
      <c r="F20" s="36"/>
      <c r="G20" s="36"/>
      <c r="H20" s="36"/>
      <c r="I20" s="36"/>
      <c r="J20" s="36"/>
      <c r="K20" s="36"/>
      <c r="L20" s="36"/>
      <c r="M20" s="36"/>
      <c r="N20" s="36"/>
      <c r="O20" s="36"/>
      <c r="P20" s="36"/>
      <c r="Q20" s="36"/>
      <c r="R20" s="37"/>
      <c r="S20" s="37"/>
      <c r="T20" s="36"/>
      <c r="U20" s="36"/>
      <c r="V20" s="37"/>
      <c r="W20" s="37"/>
      <c r="X20" s="37"/>
      <c r="Y20" s="38"/>
      <c r="Z20" s="39"/>
      <c r="AA20" s="39"/>
      <c r="AB20" s="36"/>
      <c r="AC20" s="36"/>
      <c r="AD20" s="36"/>
      <c r="AE20" s="36"/>
      <c r="AF20" s="36"/>
      <c r="AG20" s="36"/>
      <c r="AH20" s="36"/>
      <c r="AI20" s="36"/>
      <c r="AJ20" s="36"/>
      <c r="AK20" s="36"/>
      <c r="AL20" s="36"/>
      <c r="AM20" s="36"/>
      <c r="AN20" s="36"/>
    </row>
    <row r="21" spans="1:42" x14ac:dyDescent="0.25">
      <c r="A21" s="34" t="s">
        <v>34</v>
      </c>
      <c r="B21" s="35" t="s">
        <v>35</v>
      </c>
      <c r="C21" s="36"/>
      <c r="D21" s="36"/>
      <c r="E21" s="36"/>
      <c r="F21" s="36"/>
      <c r="G21" s="36"/>
      <c r="H21" s="36"/>
      <c r="I21" s="36"/>
      <c r="J21" s="36"/>
      <c r="K21" s="36"/>
      <c r="L21" s="36"/>
      <c r="M21" s="36"/>
      <c r="N21" s="36"/>
      <c r="O21" s="36"/>
      <c r="P21" s="36"/>
      <c r="Q21" s="36"/>
      <c r="R21" s="37"/>
      <c r="S21" s="37"/>
      <c r="T21" s="36"/>
      <c r="U21" s="36"/>
      <c r="V21" s="37"/>
      <c r="W21" s="37"/>
      <c r="X21" s="37"/>
      <c r="Y21" s="38"/>
      <c r="Z21" s="39"/>
      <c r="AA21" s="39"/>
      <c r="AB21" s="36"/>
      <c r="AC21" s="36"/>
      <c r="AD21" s="36"/>
      <c r="AE21" s="36"/>
      <c r="AF21" s="36"/>
      <c r="AG21" s="36"/>
      <c r="AH21" s="36"/>
      <c r="AI21" s="36"/>
      <c r="AJ21" s="36"/>
      <c r="AK21" s="36"/>
      <c r="AL21" s="36"/>
      <c r="AM21" s="36"/>
      <c r="AN21" s="36"/>
    </row>
    <row r="22" spans="1:42" x14ac:dyDescent="0.25">
      <c r="A22" s="34"/>
      <c r="B22" s="35" t="s">
        <v>31</v>
      </c>
      <c r="C22" s="36"/>
      <c r="D22" s="36"/>
      <c r="E22" s="36"/>
      <c r="F22" s="36"/>
      <c r="G22" s="36"/>
      <c r="H22" s="36"/>
      <c r="I22" s="36"/>
      <c r="J22" s="36"/>
      <c r="K22" s="36"/>
      <c r="L22" s="36"/>
      <c r="M22" s="36"/>
      <c r="N22" s="36"/>
      <c r="O22" s="36"/>
      <c r="P22" s="36"/>
      <c r="Q22" s="36"/>
      <c r="R22" s="37"/>
      <c r="S22" s="37"/>
      <c r="T22" s="36"/>
      <c r="U22" s="36"/>
      <c r="V22" s="36"/>
      <c r="W22" s="36"/>
      <c r="X22" s="36"/>
      <c r="Y22" s="38"/>
      <c r="Z22" s="39"/>
      <c r="AA22" s="39"/>
      <c r="AB22" s="36"/>
      <c r="AC22" s="36"/>
      <c r="AD22" s="36"/>
      <c r="AE22" s="36"/>
      <c r="AF22" s="36"/>
      <c r="AG22" s="36"/>
      <c r="AH22" s="36"/>
      <c r="AI22" s="36"/>
      <c r="AJ22" s="36"/>
      <c r="AK22" s="36"/>
      <c r="AL22" s="36"/>
      <c r="AM22" s="36"/>
      <c r="AN22" s="36"/>
    </row>
    <row r="23" spans="1:42" x14ac:dyDescent="0.25">
      <c r="A23" s="34" t="s">
        <v>36</v>
      </c>
      <c r="B23" s="35" t="s">
        <v>37</v>
      </c>
      <c r="C23" s="36"/>
      <c r="D23" s="36"/>
      <c r="E23" s="36"/>
      <c r="F23" s="36"/>
      <c r="G23" s="36"/>
      <c r="H23" s="36"/>
      <c r="I23" s="36"/>
      <c r="J23" s="36"/>
      <c r="K23" s="36"/>
      <c r="L23" s="36"/>
      <c r="M23" s="36"/>
      <c r="N23" s="36"/>
      <c r="O23" s="36"/>
      <c r="P23" s="36"/>
      <c r="Q23" s="36"/>
      <c r="R23" s="37"/>
      <c r="S23" s="37"/>
      <c r="T23" s="36"/>
      <c r="U23" s="36"/>
      <c r="V23" s="36"/>
      <c r="W23" s="36"/>
      <c r="X23" s="36"/>
      <c r="Y23" s="38"/>
      <c r="Z23" s="39"/>
      <c r="AA23" s="39"/>
      <c r="AB23" s="36"/>
      <c r="AC23" s="36"/>
      <c r="AD23" s="36"/>
      <c r="AE23" s="36"/>
      <c r="AF23" s="36"/>
      <c r="AG23" s="36"/>
      <c r="AH23" s="36"/>
      <c r="AI23" s="36"/>
      <c r="AJ23" s="36"/>
      <c r="AK23" s="36"/>
      <c r="AL23" s="36"/>
      <c r="AM23" s="36"/>
      <c r="AN23" s="36"/>
    </row>
    <row r="24" spans="1:42" x14ac:dyDescent="0.25">
      <c r="A24" s="34"/>
      <c r="B24" s="35" t="s">
        <v>31</v>
      </c>
      <c r="C24" s="36"/>
      <c r="D24" s="36"/>
      <c r="E24" s="36"/>
      <c r="F24" s="36"/>
      <c r="G24" s="36"/>
      <c r="H24" s="36"/>
      <c r="I24" s="36"/>
      <c r="J24" s="36"/>
      <c r="K24" s="36"/>
      <c r="L24" s="36"/>
      <c r="M24" s="36"/>
      <c r="N24" s="36"/>
      <c r="O24" s="36"/>
      <c r="P24" s="36"/>
      <c r="Q24" s="36"/>
      <c r="R24" s="37"/>
      <c r="S24" s="37"/>
      <c r="T24" s="36"/>
      <c r="U24" s="36"/>
      <c r="V24" s="36"/>
      <c r="W24" s="36"/>
      <c r="X24" s="36"/>
      <c r="Y24" s="38"/>
      <c r="Z24" s="39"/>
      <c r="AA24" s="39"/>
      <c r="AB24" s="36"/>
      <c r="AC24" s="36"/>
      <c r="AD24" s="36"/>
      <c r="AE24" s="36"/>
      <c r="AF24" s="36"/>
      <c r="AG24" s="36"/>
      <c r="AH24" s="36"/>
      <c r="AI24" s="36"/>
      <c r="AJ24" s="36"/>
      <c r="AK24" s="36"/>
      <c r="AL24" s="36"/>
      <c r="AM24" s="36"/>
      <c r="AN24" s="36"/>
    </row>
    <row r="25" spans="1:42" ht="15.75" thickBot="1" x14ac:dyDescent="0.3">
      <c r="A25" s="40"/>
      <c r="B25" s="41" t="s">
        <v>38</v>
      </c>
      <c r="C25" s="42"/>
      <c r="D25" s="42"/>
      <c r="E25" s="42"/>
      <c r="F25" s="42"/>
      <c r="G25" s="42"/>
      <c r="H25" s="42"/>
      <c r="I25" s="42"/>
      <c r="J25" s="42"/>
      <c r="K25" s="42"/>
      <c r="L25" s="42"/>
      <c r="M25" s="42"/>
      <c r="N25" s="42"/>
      <c r="O25" s="42"/>
      <c r="P25" s="42"/>
      <c r="Q25" s="42"/>
      <c r="R25" s="47"/>
      <c r="S25" s="42"/>
      <c r="T25" s="42"/>
      <c r="U25" s="72"/>
      <c r="V25" s="73"/>
      <c r="W25" s="74"/>
      <c r="X25" s="42"/>
      <c r="Y25" s="43"/>
      <c r="Z25" s="44"/>
      <c r="AA25" s="44"/>
      <c r="AB25" s="42"/>
      <c r="AC25" s="42"/>
      <c r="AD25" s="42"/>
      <c r="AE25" s="42"/>
      <c r="AF25" s="42"/>
      <c r="AG25" s="42"/>
      <c r="AH25" s="42"/>
      <c r="AI25" s="42"/>
      <c r="AJ25" s="42"/>
      <c r="AK25" s="42"/>
      <c r="AL25" s="42"/>
      <c r="AM25" s="42"/>
      <c r="AN25" s="42"/>
    </row>
    <row r="26" spans="1:42" x14ac:dyDescent="0.25">
      <c r="A26" s="7"/>
    </row>
    <row r="27" spans="1:42" ht="21" customHeight="1" x14ac:dyDescent="0.25">
      <c r="A27" s="8"/>
      <c r="B27" s="9"/>
      <c r="AF27" s="630" t="s">
        <v>133</v>
      </c>
      <c r="AG27" s="630"/>
      <c r="AH27" s="630"/>
      <c r="AI27" s="630"/>
      <c r="AJ27" s="630"/>
      <c r="AK27" s="630"/>
      <c r="AL27" s="630"/>
      <c r="AM27" s="630"/>
      <c r="AN27" s="630"/>
      <c r="AO27" s="64"/>
      <c r="AP27" s="64"/>
    </row>
    <row r="28" spans="1:42" ht="18.75" x14ac:dyDescent="0.3">
      <c r="A28" s="59" t="s">
        <v>39</v>
      </c>
      <c r="B28" s="10"/>
      <c r="AF28" s="631" t="s">
        <v>131</v>
      </c>
      <c r="AG28" s="631"/>
      <c r="AH28" s="631"/>
      <c r="AI28" s="631"/>
      <c r="AJ28" s="631"/>
      <c r="AK28" s="631"/>
      <c r="AL28" s="631"/>
      <c r="AM28" s="631"/>
      <c r="AN28" s="631"/>
      <c r="AO28" s="65"/>
      <c r="AP28" s="65"/>
    </row>
    <row r="29" spans="1:42" x14ac:dyDescent="0.25">
      <c r="A29" s="60" t="s">
        <v>40</v>
      </c>
      <c r="B29" s="11"/>
    </row>
    <row r="30" spans="1:42" x14ac:dyDescent="0.25">
      <c r="A30" s="60" t="s">
        <v>41</v>
      </c>
      <c r="B30" s="12"/>
    </row>
    <row r="31" spans="1:42" x14ac:dyDescent="0.25">
      <c r="A31" s="60"/>
      <c r="B31" s="12"/>
    </row>
    <row r="32" spans="1:42" x14ac:dyDescent="0.25">
      <c r="A32" s="13"/>
    </row>
    <row r="33" spans="1:42" x14ac:dyDescent="0.25">
      <c r="A33" s="7"/>
    </row>
    <row r="34" spans="1:42" ht="18.75" x14ac:dyDescent="0.3">
      <c r="A34" s="13"/>
      <c r="AF34" s="632" t="s">
        <v>132</v>
      </c>
      <c r="AG34" s="632"/>
      <c r="AH34" s="632"/>
      <c r="AI34" s="632"/>
      <c r="AJ34" s="632"/>
      <c r="AK34" s="632"/>
      <c r="AL34" s="632"/>
      <c r="AM34" s="632"/>
      <c r="AN34" s="632"/>
      <c r="AO34" s="61"/>
      <c r="AP34" s="61"/>
    </row>
    <row r="35" spans="1:42" x14ac:dyDescent="0.25">
      <c r="A35" s="13" t="s">
        <v>42</v>
      </c>
    </row>
    <row r="36" spans="1:42" x14ac:dyDescent="0.25">
      <c r="A36" s="7" t="s">
        <v>54</v>
      </c>
    </row>
    <row r="37" spans="1:42" x14ac:dyDescent="0.25">
      <c r="A37" s="7" t="s">
        <v>55</v>
      </c>
    </row>
    <row r="38" spans="1:42" x14ac:dyDescent="0.25">
      <c r="A38" s="7" t="s">
        <v>56</v>
      </c>
    </row>
  </sheetData>
  <mergeCells count="31">
    <mergeCell ref="A1:AN1"/>
    <mergeCell ref="A2:AN2"/>
    <mergeCell ref="A5:AN5"/>
    <mergeCell ref="AC7:AC8"/>
    <mergeCell ref="AD7:AE7"/>
    <mergeCell ref="L7:M7"/>
    <mergeCell ref="A3:C3"/>
    <mergeCell ref="AL7:AL8"/>
    <mergeCell ref="A6:AN6"/>
    <mergeCell ref="F7:G7"/>
    <mergeCell ref="A4:C4"/>
    <mergeCell ref="E7:E8"/>
    <mergeCell ref="J7:K7"/>
    <mergeCell ref="B7:B8"/>
    <mergeCell ref="N7:O7"/>
    <mergeCell ref="D7:D8"/>
    <mergeCell ref="C7:C8"/>
    <mergeCell ref="P7:Q7"/>
    <mergeCell ref="AJ7:AJ8"/>
    <mergeCell ref="A7:A8"/>
    <mergeCell ref="AN7:AN8"/>
    <mergeCell ref="H7:I7"/>
    <mergeCell ref="AF7:AF8"/>
    <mergeCell ref="AF34:AN34"/>
    <mergeCell ref="R7:AA7"/>
    <mergeCell ref="AK7:AK8"/>
    <mergeCell ref="AB7:AB8"/>
    <mergeCell ref="AG7:AI7"/>
    <mergeCell ref="AF28:AN28"/>
    <mergeCell ref="AM7:AM8"/>
    <mergeCell ref="AF27:AN27"/>
  </mergeCells>
  <phoneticPr fontId="22" type="noConversion"/>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Q40"/>
  <sheetViews>
    <sheetView topLeftCell="W2" workbookViewId="0">
      <selection activeCell="M12" sqref="M12:O12"/>
    </sheetView>
  </sheetViews>
  <sheetFormatPr defaultRowHeight="15" x14ac:dyDescent="0.25"/>
  <cols>
    <col min="1" max="1" width="5.7109375" customWidth="1"/>
    <col min="2" max="2" width="16.140625" customWidth="1"/>
    <col min="20" max="25" width="5.42578125" customWidth="1"/>
    <col min="26" max="26" width="8.5703125" customWidth="1"/>
    <col min="27" max="27" width="10.140625" customWidth="1"/>
    <col min="28" max="28" width="8.85546875" customWidth="1"/>
    <col min="29" max="29" width="9.42578125" customWidth="1"/>
    <col min="37" max="40" width="9.5703125" bestFit="1" customWidth="1"/>
    <col min="41" max="41" width="9.42578125" customWidth="1"/>
  </cols>
  <sheetData>
    <row r="1" spans="1:43" ht="15.75" x14ac:dyDescent="0.25">
      <c r="A1" s="726" t="s">
        <v>63</v>
      </c>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row>
    <row r="2" spans="1:43" x14ac:dyDescent="0.25">
      <c r="A2" s="731" t="s">
        <v>0</v>
      </c>
      <c r="B2" s="731"/>
      <c r="C2" s="731"/>
      <c r="D2" s="731"/>
      <c r="E2" s="731"/>
      <c r="F2" s="731"/>
      <c r="G2" s="731"/>
      <c r="H2" s="731"/>
      <c r="I2" s="731"/>
      <c r="J2" s="731"/>
      <c r="K2" s="731"/>
      <c r="L2" s="731"/>
      <c r="M2" s="731"/>
      <c r="N2" s="731"/>
      <c r="O2" s="731"/>
      <c r="P2" s="731"/>
      <c r="Q2" s="731"/>
      <c r="R2" s="731"/>
      <c r="S2" s="731"/>
      <c r="T2" s="731"/>
      <c r="U2" s="731"/>
      <c r="V2" s="731"/>
      <c r="W2" s="731"/>
      <c r="X2" s="731"/>
      <c r="Y2" s="731"/>
      <c r="Z2" s="731"/>
      <c r="AA2" s="731"/>
      <c r="AB2" s="731"/>
      <c r="AC2" s="731"/>
      <c r="AD2" s="731"/>
      <c r="AE2" s="731"/>
      <c r="AF2" s="731"/>
      <c r="AG2" s="731"/>
      <c r="AH2" s="731"/>
      <c r="AI2" s="731"/>
      <c r="AJ2" s="731"/>
      <c r="AK2" s="731"/>
      <c r="AL2" s="731"/>
      <c r="AM2" s="731"/>
      <c r="AN2" s="731"/>
      <c r="AO2" s="731"/>
      <c r="AP2" s="731"/>
      <c r="AQ2" s="731"/>
    </row>
    <row r="3" spans="1:43" x14ac:dyDescent="0.25">
      <c r="A3" s="729" t="s">
        <v>134</v>
      </c>
      <c r="B3" s="729"/>
      <c r="C3" s="729"/>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62"/>
      <c r="AM3" s="62"/>
      <c r="AN3" s="62"/>
      <c r="AO3" s="62"/>
      <c r="AP3" s="62"/>
    </row>
    <row r="4" spans="1:43" x14ac:dyDescent="0.25">
      <c r="A4" s="729" t="s">
        <v>135</v>
      </c>
      <c r="B4" s="729"/>
      <c r="C4" s="729"/>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row>
    <row r="5" spans="1:43" ht="15.75" x14ac:dyDescent="0.25">
      <c r="A5" s="726" t="s">
        <v>64</v>
      </c>
      <c r="B5" s="726"/>
      <c r="C5" s="726"/>
      <c r="D5" s="726"/>
      <c r="E5" s="726"/>
      <c r="F5" s="726"/>
      <c r="G5" s="726"/>
      <c r="H5" s="726"/>
      <c r="I5" s="726"/>
      <c r="J5" s="726"/>
      <c r="K5" s="726"/>
      <c r="L5" s="726"/>
      <c r="M5" s="726"/>
      <c r="N5" s="726"/>
      <c r="O5" s="726"/>
      <c r="P5" s="726"/>
      <c r="Q5" s="726"/>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row>
    <row r="6" spans="1:43" ht="15.75" thickBot="1" x14ac:dyDescent="0.3">
      <c r="A6" s="731" t="s">
        <v>2</v>
      </c>
      <c r="B6" s="731"/>
      <c r="C6" s="731"/>
      <c r="D6" s="731"/>
      <c r="E6" s="731"/>
      <c r="F6" s="731"/>
      <c r="G6" s="731"/>
      <c r="H6" s="731"/>
      <c r="I6" s="731"/>
      <c r="J6" s="731"/>
      <c r="K6" s="731"/>
      <c r="L6" s="731"/>
      <c r="M6" s="731"/>
      <c r="N6" s="731"/>
      <c r="O6" s="731"/>
      <c r="P6" s="731"/>
      <c r="Q6" s="731"/>
      <c r="R6" s="731"/>
      <c r="S6" s="731"/>
      <c r="T6" s="731"/>
      <c r="U6" s="731"/>
      <c r="V6" s="731"/>
      <c r="W6" s="731"/>
      <c r="X6" s="731"/>
      <c r="Y6" s="731"/>
      <c r="Z6" s="731"/>
      <c r="AA6" s="731"/>
      <c r="AB6" s="731"/>
      <c r="AC6" s="731"/>
      <c r="AD6" s="731"/>
      <c r="AE6" s="731"/>
      <c r="AF6" s="731"/>
      <c r="AG6" s="731"/>
      <c r="AH6" s="731"/>
      <c r="AI6" s="731"/>
      <c r="AJ6" s="731"/>
      <c r="AK6" s="731"/>
      <c r="AL6" s="731"/>
      <c r="AM6" s="731"/>
      <c r="AN6" s="731"/>
      <c r="AO6" s="731"/>
      <c r="AP6" s="731"/>
      <c r="AQ6" s="731"/>
    </row>
    <row r="7" spans="1:43" ht="33.75" customHeight="1" thickBot="1" x14ac:dyDescent="0.3">
      <c r="A7" s="722" t="s">
        <v>3</v>
      </c>
      <c r="B7" s="722" t="s">
        <v>4</v>
      </c>
      <c r="C7" s="722" t="s">
        <v>5</v>
      </c>
      <c r="D7" s="722" t="s">
        <v>6</v>
      </c>
      <c r="E7" s="722" t="s">
        <v>7</v>
      </c>
      <c r="F7" s="724" t="s">
        <v>8</v>
      </c>
      <c r="G7" s="725"/>
      <c r="H7" s="724" t="s">
        <v>9</v>
      </c>
      <c r="I7" s="725"/>
      <c r="J7" s="724" t="s">
        <v>10</v>
      </c>
      <c r="K7" s="725"/>
      <c r="L7" s="724" t="s">
        <v>11</v>
      </c>
      <c r="M7" s="725"/>
      <c r="N7" s="724" t="s">
        <v>12</v>
      </c>
      <c r="O7" s="725"/>
      <c r="P7" s="724" t="s">
        <v>13</v>
      </c>
      <c r="Q7" s="725"/>
      <c r="R7" s="717" t="s">
        <v>83</v>
      </c>
      <c r="S7" s="718"/>
      <c r="T7" s="718"/>
      <c r="U7" s="718"/>
      <c r="V7" s="718"/>
      <c r="W7" s="718"/>
      <c r="X7" s="718"/>
      <c r="Y7" s="718"/>
      <c r="Z7" s="718"/>
      <c r="AA7" s="719"/>
      <c r="AB7" s="722" t="s">
        <v>98</v>
      </c>
      <c r="AC7" s="722" t="s">
        <v>99</v>
      </c>
      <c r="AD7" s="722" t="s">
        <v>14</v>
      </c>
      <c r="AE7" s="722" t="s">
        <v>15</v>
      </c>
      <c r="AF7" s="717" t="s">
        <v>16</v>
      </c>
      <c r="AG7" s="718"/>
      <c r="AH7" s="719"/>
      <c r="AI7" s="722" t="s">
        <v>16</v>
      </c>
      <c r="AJ7" s="720" t="s">
        <v>101</v>
      </c>
      <c r="AK7" s="724" t="s">
        <v>95</v>
      </c>
      <c r="AL7" s="732"/>
      <c r="AM7" s="732"/>
      <c r="AN7" s="732"/>
      <c r="AO7" s="732"/>
      <c r="AP7" s="725"/>
      <c r="AQ7" s="722" t="s">
        <v>17</v>
      </c>
    </row>
    <row r="8" spans="1:43" ht="68.25" thickBot="1" x14ac:dyDescent="0.3">
      <c r="A8" s="723"/>
      <c r="B8" s="723"/>
      <c r="C8" s="723"/>
      <c r="D8" s="723"/>
      <c r="E8" s="723"/>
      <c r="F8" s="1" t="s">
        <v>18</v>
      </c>
      <c r="G8" s="1" t="s">
        <v>19</v>
      </c>
      <c r="H8" s="1" t="s">
        <v>20</v>
      </c>
      <c r="I8" s="1" t="s">
        <v>19</v>
      </c>
      <c r="J8" s="1" t="s">
        <v>21</v>
      </c>
      <c r="K8" s="1" t="s">
        <v>19</v>
      </c>
      <c r="L8" s="1" t="s">
        <v>21</v>
      </c>
      <c r="M8" s="1" t="s">
        <v>19</v>
      </c>
      <c r="N8" s="1" t="s">
        <v>20</v>
      </c>
      <c r="O8" s="1" t="s">
        <v>19</v>
      </c>
      <c r="P8" s="1" t="s">
        <v>20</v>
      </c>
      <c r="Q8" s="1" t="s">
        <v>19</v>
      </c>
      <c r="R8" s="24" t="s">
        <v>84</v>
      </c>
      <c r="S8" s="24" t="s">
        <v>85</v>
      </c>
      <c r="T8" s="24" t="s">
        <v>86</v>
      </c>
      <c r="U8" s="24" t="s">
        <v>20</v>
      </c>
      <c r="V8" s="24" t="s">
        <v>87</v>
      </c>
      <c r="W8" s="24" t="s">
        <v>91</v>
      </c>
      <c r="X8" s="24" t="s">
        <v>92</v>
      </c>
      <c r="Y8" s="24" t="s">
        <v>90</v>
      </c>
      <c r="Z8" s="24" t="s">
        <v>88</v>
      </c>
      <c r="AA8" s="24" t="s">
        <v>89</v>
      </c>
      <c r="AB8" s="723"/>
      <c r="AC8" s="723"/>
      <c r="AD8" s="723"/>
      <c r="AE8" s="723"/>
      <c r="AF8" s="67" t="s">
        <v>138</v>
      </c>
      <c r="AG8" s="67" t="s">
        <v>139</v>
      </c>
      <c r="AH8" s="67" t="s">
        <v>140</v>
      </c>
      <c r="AI8" s="723"/>
      <c r="AJ8" s="721"/>
      <c r="AK8" s="30" t="s">
        <v>24</v>
      </c>
      <c r="AL8" s="1" t="s">
        <v>65</v>
      </c>
      <c r="AM8" s="1" t="s">
        <v>66</v>
      </c>
      <c r="AN8" s="1" t="s">
        <v>57</v>
      </c>
      <c r="AO8" s="1" t="s">
        <v>58</v>
      </c>
      <c r="AP8" s="2" t="s">
        <v>67</v>
      </c>
      <c r="AQ8" s="723"/>
    </row>
    <row r="9" spans="1:43" ht="15.75" thickBot="1" x14ac:dyDescent="0.3">
      <c r="A9" s="3"/>
      <c r="B9" s="2" t="s">
        <v>28</v>
      </c>
      <c r="C9" s="2">
        <v>1</v>
      </c>
      <c r="D9" s="2">
        <v>2</v>
      </c>
      <c r="E9" s="2">
        <v>3</v>
      </c>
      <c r="F9" s="2">
        <v>4</v>
      </c>
      <c r="G9" s="2">
        <v>5</v>
      </c>
      <c r="H9" s="2">
        <v>6</v>
      </c>
      <c r="I9" s="2">
        <v>7</v>
      </c>
      <c r="J9" s="2">
        <v>8</v>
      </c>
      <c r="K9" s="2">
        <v>9</v>
      </c>
      <c r="L9" s="2">
        <v>10</v>
      </c>
      <c r="M9" s="2">
        <v>11</v>
      </c>
      <c r="N9" s="2">
        <v>12</v>
      </c>
      <c r="O9" s="2">
        <v>13</v>
      </c>
      <c r="P9" s="2">
        <v>14</v>
      </c>
      <c r="Q9" s="2">
        <v>15</v>
      </c>
      <c r="R9" s="2"/>
      <c r="S9" s="2"/>
      <c r="T9" s="2"/>
      <c r="U9" s="2"/>
      <c r="V9" s="2"/>
      <c r="W9" s="2"/>
      <c r="X9" s="2"/>
      <c r="Y9" s="2"/>
      <c r="Z9" s="2"/>
      <c r="AA9" s="2"/>
      <c r="AB9" s="2">
        <v>16</v>
      </c>
      <c r="AC9" s="2">
        <v>17</v>
      </c>
      <c r="AD9" s="2">
        <v>18</v>
      </c>
      <c r="AE9" s="2">
        <v>19</v>
      </c>
      <c r="AF9" s="2"/>
      <c r="AG9" s="2"/>
      <c r="AH9" s="2"/>
      <c r="AI9" s="2">
        <v>20</v>
      </c>
      <c r="AJ9" s="2"/>
      <c r="AK9" s="31">
        <v>21</v>
      </c>
      <c r="AL9" s="2">
        <v>22</v>
      </c>
      <c r="AM9" s="2">
        <v>23</v>
      </c>
      <c r="AN9" s="2">
        <v>24</v>
      </c>
      <c r="AO9" s="2">
        <v>25</v>
      </c>
      <c r="AP9" s="2">
        <v>26</v>
      </c>
      <c r="AQ9" s="2">
        <v>27</v>
      </c>
    </row>
    <row r="10" spans="1:43" ht="15.75" thickBot="1" x14ac:dyDescent="0.3">
      <c r="A10" s="3" t="s">
        <v>29</v>
      </c>
      <c r="B10" s="4" t="s">
        <v>30</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31"/>
      <c r="AL10" s="2"/>
      <c r="AM10" s="2"/>
      <c r="AN10" s="2"/>
      <c r="AO10" s="2"/>
      <c r="AP10" s="2"/>
      <c r="AQ10" s="2"/>
    </row>
    <row r="11" spans="1:43" ht="15.75" thickBot="1" x14ac:dyDescent="0.3">
      <c r="A11" s="3"/>
      <c r="B11" s="4" t="s">
        <v>100</v>
      </c>
      <c r="C11" s="22">
        <f>EDATE(AE11,-(35*12))</f>
        <v>29403</v>
      </c>
      <c r="D11" s="2"/>
      <c r="E11" s="2"/>
      <c r="F11" s="23">
        <v>3</v>
      </c>
      <c r="G11" s="22">
        <v>41395</v>
      </c>
      <c r="H11" s="2"/>
      <c r="I11" s="2"/>
      <c r="J11" s="2"/>
      <c r="K11" s="2"/>
      <c r="L11" s="2"/>
      <c r="M11" s="2"/>
      <c r="N11" s="2"/>
      <c r="O11" s="2"/>
      <c r="P11" s="2">
        <v>2.67</v>
      </c>
      <c r="Q11" s="22">
        <f>EDATE(G11,-3*12)</f>
        <v>40299</v>
      </c>
      <c r="R11" s="22">
        <f>EDATE(AE11,-60)</f>
        <v>40360</v>
      </c>
      <c r="S11" s="22">
        <v>40663</v>
      </c>
      <c r="T11" s="2">
        <f>ROUND(DAYS360(R11,S11,0)/30,0)</f>
        <v>10</v>
      </c>
      <c r="U11" s="23">
        <v>2.67</v>
      </c>
      <c r="V11" s="2"/>
      <c r="W11" s="2"/>
      <c r="X11" s="2"/>
      <c r="Y11" s="23">
        <f>U11+V11+W11*U11+(U11+V11+W11*U11)*X11</f>
        <v>2.67</v>
      </c>
      <c r="Z11" s="25">
        <v>730000</v>
      </c>
      <c r="AA11" s="25">
        <f>T11*Y11*Z11</f>
        <v>19491000</v>
      </c>
      <c r="AB11" s="26">
        <f>Z15*Y15</f>
        <v>3450000</v>
      </c>
      <c r="AC11" s="27">
        <f>ROUND(AA16/60,0)</f>
        <v>2813770</v>
      </c>
      <c r="AD11" s="2" t="s">
        <v>103</v>
      </c>
      <c r="AE11" s="22">
        <v>42186</v>
      </c>
      <c r="AF11" s="68">
        <f>DATEDIF(C11,AE11,"y")</f>
        <v>35</v>
      </c>
      <c r="AG11" s="68">
        <f>DATEDIF(C11,AE11,"ym")</f>
        <v>0</v>
      </c>
      <c r="AH11" s="68">
        <f>DATEDIF(C11,AE11,"md")</f>
        <v>0</v>
      </c>
      <c r="AI11" s="68" t="str">
        <f>IF(AG11=0,AF11&amp;"t",IF(AND(AG11=11,AH11&gt;14),(AF11+1)&amp;"t",IF(AH11&gt;14,AF11&amp;"t"&amp;(AG11+1)&amp;"th",AF11&amp;"t"&amp;AG11&amp;"th")))</f>
        <v>35t</v>
      </c>
      <c r="AJ11" s="2">
        <v>5</v>
      </c>
      <c r="AK11" s="29">
        <f>SUM(AL11:AP11)</f>
        <v>49261965</v>
      </c>
      <c r="AL11" s="26">
        <f>AJ11*AB11</f>
        <v>17250000</v>
      </c>
      <c r="AM11" s="27">
        <v>9000000</v>
      </c>
      <c r="AN11" s="26">
        <f>3*AB11</f>
        <v>10350000</v>
      </c>
      <c r="AO11" s="26">
        <f>(VALUE(LEFT(AD11,2)+IF(LEN(AD11)&lt;4,0,IF(VALUE(MID(AD11,4,LEN(AD11)-4))&gt;6,1,IF(VALUE(MID(AD11,4,LEN(AD11)-4))&gt;2,0.5,0)))))*AC11*1/2</f>
        <v>12661965</v>
      </c>
      <c r="AP11" s="2"/>
      <c r="AQ11" s="2"/>
    </row>
    <row r="12" spans="1:43" ht="15.75" thickBot="1" x14ac:dyDescent="0.3">
      <c r="A12" s="3"/>
      <c r="B12" s="4"/>
      <c r="C12" s="2"/>
      <c r="D12" s="2"/>
      <c r="E12" s="2"/>
      <c r="F12" s="23"/>
      <c r="G12" s="2"/>
      <c r="H12" s="2"/>
      <c r="I12" s="2"/>
      <c r="J12" s="2"/>
      <c r="K12" s="2"/>
      <c r="L12" s="2"/>
      <c r="M12" s="2"/>
      <c r="N12" s="2"/>
      <c r="O12" s="2"/>
      <c r="P12" s="2"/>
      <c r="Q12" s="22"/>
      <c r="R12" s="22">
        <v>40664</v>
      </c>
      <c r="S12" s="22">
        <v>41029</v>
      </c>
      <c r="T12" s="2">
        <f>ROUND(DAYS360(R12,S12,0)/30,0)</f>
        <v>12</v>
      </c>
      <c r="U12" s="23">
        <v>2.67</v>
      </c>
      <c r="V12" s="2"/>
      <c r="W12" s="2"/>
      <c r="X12" s="2"/>
      <c r="Y12" s="23">
        <f>U12+V12+W12*U12+(U12+V12+W12*U12)*X12</f>
        <v>2.67</v>
      </c>
      <c r="Z12" s="25">
        <v>830000</v>
      </c>
      <c r="AA12" s="25">
        <f>T12*Y12*Z12</f>
        <v>26593200</v>
      </c>
      <c r="AB12" s="2"/>
      <c r="AC12" s="2"/>
      <c r="AD12" s="2"/>
      <c r="AE12" s="2"/>
      <c r="AF12" s="2"/>
      <c r="AG12" s="2"/>
      <c r="AH12" s="2"/>
      <c r="AI12" s="2"/>
      <c r="AJ12" s="2"/>
      <c r="AK12" s="31"/>
      <c r="AL12" s="2"/>
      <c r="AM12" s="2"/>
      <c r="AN12" s="2"/>
      <c r="AO12" s="2"/>
      <c r="AP12" s="2"/>
      <c r="AQ12" s="2"/>
    </row>
    <row r="13" spans="1:43" ht="15.75" thickBot="1" x14ac:dyDescent="0.3">
      <c r="A13" s="3"/>
      <c r="B13" s="4"/>
      <c r="C13" s="2"/>
      <c r="D13" s="2"/>
      <c r="E13" s="2"/>
      <c r="F13" s="23"/>
      <c r="G13" s="2"/>
      <c r="H13" s="2"/>
      <c r="I13" s="2"/>
      <c r="J13" s="2"/>
      <c r="K13" s="2"/>
      <c r="L13" s="2"/>
      <c r="M13" s="2"/>
      <c r="N13" s="2"/>
      <c r="O13" s="2"/>
      <c r="P13" s="2"/>
      <c r="Q13" s="22"/>
      <c r="R13" s="22">
        <v>41030</v>
      </c>
      <c r="S13" s="22">
        <v>41394</v>
      </c>
      <c r="T13" s="2">
        <f>ROUND(DAYS360(R13,S13,0)/30,0)</f>
        <v>12</v>
      </c>
      <c r="U13" s="23">
        <v>2.67</v>
      </c>
      <c r="V13" s="2"/>
      <c r="W13" s="2"/>
      <c r="X13" s="2"/>
      <c r="Y13" s="23">
        <f>U13+V13+W13*U13+(U13+V13+W13*U13)*X13</f>
        <v>2.67</v>
      </c>
      <c r="Z13" s="25">
        <v>1050000</v>
      </c>
      <c r="AA13" s="25">
        <f>T13*Y13*Z13</f>
        <v>33642000</v>
      </c>
      <c r="AB13" s="2"/>
      <c r="AC13" s="2"/>
      <c r="AD13" s="2"/>
      <c r="AE13" s="2"/>
      <c r="AF13" s="2"/>
      <c r="AG13" s="2"/>
      <c r="AH13" s="2"/>
      <c r="AI13" s="2"/>
      <c r="AJ13" s="2"/>
      <c r="AK13" s="31"/>
      <c r="AL13" s="2"/>
      <c r="AM13" s="2"/>
      <c r="AN13" s="2"/>
      <c r="AO13" s="2"/>
      <c r="AP13" s="2"/>
      <c r="AQ13" s="2"/>
    </row>
    <row r="14" spans="1:43" ht="15.75" thickBot="1" x14ac:dyDescent="0.3">
      <c r="A14" s="3"/>
      <c r="B14" s="4"/>
      <c r="C14" s="2"/>
      <c r="D14" s="2"/>
      <c r="E14" s="2"/>
      <c r="F14" s="23"/>
      <c r="G14" s="2"/>
      <c r="H14" s="2"/>
      <c r="I14" s="2"/>
      <c r="J14" s="2"/>
      <c r="K14" s="2"/>
      <c r="L14" s="2"/>
      <c r="M14" s="2"/>
      <c r="N14" s="2"/>
      <c r="O14" s="2"/>
      <c r="P14" s="2"/>
      <c r="Q14" s="22"/>
      <c r="R14" s="22">
        <v>41395</v>
      </c>
      <c r="S14" s="22">
        <v>41455</v>
      </c>
      <c r="T14" s="2">
        <f>ROUND(DAYS360(R14,S14,0)/30,0)</f>
        <v>2</v>
      </c>
      <c r="U14" s="23">
        <v>3</v>
      </c>
      <c r="V14" s="2"/>
      <c r="W14" s="2"/>
      <c r="X14" s="2"/>
      <c r="Y14" s="23">
        <f>U14+V14+W14*U14+(U14+V14+W14*U14)*X14</f>
        <v>3</v>
      </c>
      <c r="Z14" s="25">
        <v>1050000</v>
      </c>
      <c r="AA14" s="25">
        <f>T14*Y14*Z14</f>
        <v>6300000</v>
      </c>
      <c r="AB14" s="2"/>
      <c r="AC14" s="2"/>
      <c r="AD14" s="2"/>
      <c r="AE14" s="2"/>
      <c r="AF14" s="2"/>
      <c r="AG14" s="2"/>
      <c r="AH14" s="2"/>
      <c r="AI14" s="2"/>
      <c r="AJ14" s="2"/>
      <c r="AK14" s="31"/>
      <c r="AL14" s="2"/>
      <c r="AM14" s="2"/>
      <c r="AN14" s="2"/>
      <c r="AO14" s="2"/>
      <c r="AP14" s="2"/>
      <c r="AQ14" s="2"/>
    </row>
    <row r="15" spans="1:43" ht="15.75" thickBot="1" x14ac:dyDescent="0.3">
      <c r="A15" s="3"/>
      <c r="B15" s="4"/>
      <c r="C15" s="2"/>
      <c r="D15" s="2"/>
      <c r="E15" s="2"/>
      <c r="F15" s="23"/>
      <c r="G15" s="2"/>
      <c r="H15" s="2"/>
      <c r="I15" s="2"/>
      <c r="J15" s="2"/>
      <c r="K15" s="2"/>
      <c r="L15" s="2"/>
      <c r="M15" s="2"/>
      <c r="N15" s="2"/>
      <c r="O15" s="2"/>
      <c r="P15" s="2"/>
      <c r="Q15" s="22"/>
      <c r="R15" s="22">
        <v>41456</v>
      </c>
      <c r="S15" s="22">
        <v>42186</v>
      </c>
      <c r="T15" s="2">
        <f>ROUND(DAYS360(R15,S15,0)/30,0)</f>
        <v>24</v>
      </c>
      <c r="U15" s="23">
        <v>3</v>
      </c>
      <c r="V15" s="2"/>
      <c r="W15" s="2"/>
      <c r="X15" s="2"/>
      <c r="Y15" s="23">
        <f>U15+V15+W15*U15+(U15+V15+W15*U15)*X15</f>
        <v>3</v>
      </c>
      <c r="Z15" s="25">
        <v>1150000</v>
      </c>
      <c r="AA15" s="25">
        <f>T15*Y15*Z15</f>
        <v>82800000</v>
      </c>
      <c r="AB15" s="2"/>
      <c r="AC15" s="2"/>
      <c r="AD15" s="2"/>
      <c r="AE15" s="2"/>
      <c r="AF15" s="2"/>
      <c r="AG15" s="2"/>
      <c r="AH15" s="2"/>
      <c r="AI15" s="2"/>
      <c r="AJ15" s="2"/>
      <c r="AK15" s="31"/>
      <c r="AL15" s="2"/>
      <c r="AM15" s="2"/>
      <c r="AN15" s="2"/>
      <c r="AO15" s="2"/>
      <c r="AP15" s="2"/>
      <c r="AQ15" s="2"/>
    </row>
    <row r="16" spans="1:43" ht="15.75" thickBot="1" x14ac:dyDescent="0.3">
      <c r="A16" s="3"/>
      <c r="B16" s="4"/>
      <c r="C16" s="2"/>
      <c r="D16" s="2"/>
      <c r="E16" s="2"/>
      <c r="F16" s="23"/>
      <c r="G16" s="2"/>
      <c r="H16" s="2"/>
      <c r="I16" s="2"/>
      <c r="J16" s="2"/>
      <c r="K16" s="2"/>
      <c r="L16" s="2"/>
      <c r="M16" s="2"/>
      <c r="N16" s="2"/>
      <c r="O16" s="2"/>
      <c r="P16" s="2"/>
      <c r="Q16" s="22"/>
      <c r="R16" s="22"/>
      <c r="S16" s="22"/>
      <c r="T16" s="2">
        <f>SUM(T11:T15)</f>
        <v>60</v>
      </c>
      <c r="U16" s="23"/>
      <c r="V16" s="22"/>
      <c r="W16" s="22"/>
      <c r="X16" s="22"/>
      <c r="Y16" s="23"/>
      <c r="Z16" s="25"/>
      <c r="AA16" s="25">
        <f>SUM(AA11:AA15)</f>
        <v>168826200</v>
      </c>
      <c r="AB16" s="2"/>
      <c r="AC16" s="2"/>
      <c r="AD16" s="2"/>
      <c r="AE16" s="2"/>
      <c r="AF16" s="2"/>
      <c r="AG16" s="2"/>
      <c r="AH16" s="2"/>
      <c r="AI16" s="2"/>
      <c r="AJ16" s="2"/>
      <c r="AK16" s="31"/>
      <c r="AL16" s="2"/>
      <c r="AM16" s="2"/>
      <c r="AN16" s="2"/>
      <c r="AO16" s="2"/>
      <c r="AP16" s="2"/>
      <c r="AQ16" s="2"/>
    </row>
    <row r="17" spans="1:43" ht="15.75" thickBot="1" x14ac:dyDescent="0.3">
      <c r="A17" s="3" t="s">
        <v>32</v>
      </c>
      <c r="B17" s="4" t="s">
        <v>33</v>
      </c>
      <c r="C17" s="2"/>
      <c r="D17" s="2"/>
      <c r="E17" s="2"/>
      <c r="F17" s="23"/>
      <c r="G17" s="2"/>
      <c r="H17" s="2"/>
      <c r="I17" s="2"/>
      <c r="J17" s="2"/>
      <c r="K17" s="2"/>
      <c r="L17" s="2"/>
      <c r="M17" s="2"/>
      <c r="N17" s="2"/>
      <c r="O17" s="2"/>
      <c r="P17" s="2"/>
      <c r="Q17" s="22"/>
      <c r="R17" s="22"/>
      <c r="S17" s="22"/>
      <c r="T17" s="2"/>
      <c r="U17" s="23"/>
      <c r="V17" s="22"/>
      <c r="W17" s="22"/>
      <c r="X17" s="22"/>
      <c r="Y17" s="23"/>
      <c r="Z17" s="25"/>
      <c r="AA17" s="25"/>
      <c r="AB17" s="2"/>
      <c r="AC17" s="2"/>
      <c r="AD17" s="2"/>
      <c r="AE17" s="2"/>
      <c r="AF17" s="2"/>
      <c r="AG17" s="2"/>
      <c r="AH17" s="2"/>
      <c r="AI17" s="2"/>
      <c r="AJ17" s="2"/>
      <c r="AK17" s="31"/>
      <c r="AL17" s="2"/>
      <c r="AM17" s="2"/>
      <c r="AN17" s="2"/>
      <c r="AO17" s="2"/>
      <c r="AP17" s="2"/>
      <c r="AQ17" s="2"/>
    </row>
    <row r="18" spans="1:43" ht="15.75" thickBot="1" x14ac:dyDescent="0.3">
      <c r="A18" s="3"/>
      <c r="B18" s="4" t="s">
        <v>31</v>
      </c>
      <c r="C18" s="2"/>
      <c r="D18" s="2"/>
      <c r="E18" s="2"/>
      <c r="F18" s="23"/>
      <c r="G18" s="2"/>
      <c r="H18" s="2"/>
      <c r="I18" s="2"/>
      <c r="J18" s="2"/>
      <c r="K18" s="2"/>
      <c r="L18" s="2"/>
      <c r="M18" s="2"/>
      <c r="N18" s="2"/>
      <c r="O18" s="2"/>
      <c r="P18" s="2"/>
      <c r="Q18" s="22"/>
      <c r="R18" s="22"/>
      <c r="S18" s="22"/>
      <c r="T18" s="2"/>
      <c r="U18" s="23"/>
      <c r="V18" s="22"/>
      <c r="W18" s="22"/>
      <c r="X18" s="22"/>
      <c r="Y18" s="23"/>
      <c r="Z18" s="25"/>
      <c r="AA18" s="25"/>
      <c r="AB18" s="2"/>
      <c r="AC18" s="2"/>
      <c r="AD18" s="2"/>
      <c r="AE18" s="2"/>
      <c r="AF18" s="2"/>
      <c r="AG18" s="2"/>
      <c r="AH18" s="2"/>
      <c r="AI18" s="2"/>
      <c r="AJ18" s="2"/>
      <c r="AK18" s="31"/>
      <c r="AL18" s="2"/>
      <c r="AM18" s="2"/>
      <c r="AN18" s="2"/>
      <c r="AO18" s="2"/>
      <c r="AP18" s="2"/>
      <c r="AQ18" s="2"/>
    </row>
    <row r="19" spans="1:43" ht="15.75" thickBot="1" x14ac:dyDescent="0.3">
      <c r="A19" s="3" t="s">
        <v>34</v>
      </c>
      <c r="B19" s="4" t="s">
        <v>35</v>
      </c>
      <c r="C19" s="2"/>
      <c r="D19" s="2"/>
      <c r="E19" s="2"/>
      <c r="F19" s="23"/>
      <c r="G19" s="2"/>
      <c r="H19" s="2"/>
      <c r="I19" s="2"/>
      <c r="J19" s="2"/>
      <c r="K19" s="2"/>
      <c r="L19" s="2"/>
      <c r="M19" s="2"/>
      <c r="N19" s="2"/>
      <c r="O19" s="2"/>
      <c r="P19" s="2"/>
      <c r="Q19" s="22"/>
      <c r="R19" s="22"/>
      <c r="S19" s="22"/>
      <c r="T19" s="2"/>
      <c r="U19" s="23"/>
      <c r="V19" s="22"/>
      <c r="W19" s="22"/>
      <c r="X19" s="22"/>
      <c r="Y19" s="23"/>
      <c r="Z19" s="25"/>
      <c r="AA19" s="25"/>
      <c r="AB19" s="2"/>
      <c r="AC19" s="2"/>
      <c r="AD19" s="2"/>
      <c r="AE19" s="2"/>
      <c r="AF19" s="2"/>
      <c r="AG19" s="2"/>
      <c r="AH19" s="2"/>
      <c r="AI19" s="2"/>
      <c r="AJ19" s="2"/>
      <c r="AK19" s="31"/>
      <c r="AL19" s="2"/>
      <c r="AM19" s="2"/>
      <c r="AN19" s="2"/>
      <c r="AO19" s="2"/>
      <c r="AP19" s="2"/>
      <c r="AQ19" s="2"/>
    </row>
    <row r="20" spans="1:43" ht="15.75" thickBot="1" x14ac:dyDescent="0.3">
      <c r="A20" s="3"/>
      <c r="B20" s="4" t="s">
        <v>31</v>
      </c>
      <c r="C20" s="2"/>
      <c r="D20" s="2"/>
      <c r="E20" s="2"/>
      <c r="F20" s="23"/>
      <c r="G20" s="2"/>
      <c r="H20" s="2"/>
      <c r="I20" s="2"/>
      <c r="J20" s="2"/>
      <c r="K20" s="2"/>
      <c r="L20" s="2"/>
      <c r="M20" s="2"/>
      <c r="N20" s="2"/>
      <c r="O20" s="2"/>
      <c r="P20" s="2"/>
      <c r="Q20" s="22"/>
      <c r="R20" s="22"/>
      <c r="S20" s="22"/>
      <c r="T20" s="2"/>
      <c r="U20" s="23"/>
      <c r="V20" s="22"/>
      <c r="W20" s="22"/>
      <c r="X20" s="22"/>
      <c r="Y20" s="23"/>
      <c r="Z20" s="25"/>
      <c r="AA20" s="25"/>
      <c r="AB20" s="2"/>
      <c r="AC20" s="2"/>
      <c r="AD20" s="2"/>
      <c r="AE20" s="2"/>
      <c r="AF20" s="2"/>
      <c r="AG20" s="2"/>
      <c r="AH20" s="2"/>
      <c r="AI20" s="2"/>
      <c r="AJ20" s="2"/>
      <c r="AK20" s="31"/>
      <c r="AL20" s="2"/>
      <c r="AM20" s="2"/>
      <c r="AN20" s="2"/>
      <c r="AO20" s="2"/>
      <c r="AP20" s="2"/>
      <c r="AQ20" s="2"/>
    </row>
    <row r="21" spans="1:43" ht="15.75" thickBot="1" x14ac:dyDescent="0.3">
      <c r="A21" s="3" t="s">
        <v>36</v>
      </c>
      <c r="B21" s="4" t="s">
        <v>37</v>
      </c>
      <c r="C21" s="2"/>
      <c r="D21" s="2"/>
      <c r="E21" s="2"/>
      <c r="F21" s="23"/>
      <c r="G21" s="2"/>
      <c r="H21" s="2"/>
      <c r="I21" s="2"/>
      <c r="J21" s="2"/>
      <c r="K21" s="2"/>
      <c r="L21" s="2"/>
      <c r="M21" s="2"/>
      <c r="N21" s="2"/>
      <c r="O21" s="2"/>
      <c r="P21" s="2"/>
      <c r="Q21" s="22"/>
      <c r="R21" s="22"/>
      <c r="S21" s="22"/>
      <c r="T21" s="2"/>
      <c r="U21" s="23"/>
      <c r="V21" s="22"/>
      <c r="W21" s="22"/>
      <c r="X21" s="22"/>
      <c r="Y21" s="23"/>
      <c r="Z21" s="25"/>
      <c r="AA21" s="25"/>
      <c r="AB21" s="2"/>
      <c r="AC21" s="2"/>
      <c r="AD21" s="2"/>
      <c r="AE21" s="2"/>
      <c r="AF21" s="2"/>
      <c r="AG21" s="2"/>
      <c r="AH21" s="2"/>
      <c r="AI21" s="2"/>
      <c r="AJ21" s="2"/>
      <c r="AK21" s="31"/>
      <c r="AL21" s="2"/>
      <c r="AM21" s="2"/>
      <c r="AN21" s="2"/>
      <c r="AO21" s="2"/>
      <c r="AP21" s="2"/>
      <c r="AQ21" s="2"/>
    </row>
    <row r="22" spans="1:43" ht="15.75" thickBot="1" x14ac:dyDescent="0.3">
      <c r="A22" s="3"/>
      <c r="B22" s="4" t="s">
        <v>31</v>
      </c>
      <c r="C22" s="2"/>
      <c r="D22" s="2"/>
      <c r="E22" s="2"/>
      <c r="F22" s="23"/>
      <c r="G22" s="2"/>
      <c r="H22" s="2"/>
      <c r="I22" s="2"/>
      <c r="J22" s="2"/>
      <c r="K22" s="2"/>
      <c r="L22" s="2"/>
      <c r="M22" s="2"/>
      <c r="N22" s="2"/>
      <c r="O22" s="2"/>
      <c r="P22" s="2"/>
      <c r="Q22" s="22"/>
      <c r="R22" s="22"/>
      <c r="S22" s="22"/>
      <c r="T22" s="2"/>
      <c r="U22" s="23"/>
      <c r="V22" s="22"/>
      <c r="W22" s="22"/>
      <c r="X22" s="22"/>
      <c r="Y22" s="23"/>
      <c r="Z22" s="25"/>
      <c r="AA22" s="25"/>
      <c r="AB22" s="2"/>
      <c r="AC22" s="2"/>
      <c r="AD22" s="2"/>
      <c r="AE22" s="2"/>
      <c r="AF22" s="2"/>
      <c r="AG22" s="2"/>
      <c r="AH22" s="2"/>
      <c r="AI22" s="2"/>
      <c r="AJ22" s="2"/>
      <c r="AK22" s="31"/>
      <c r="AL22" s="2"/>
      <c r="AM22" s="2"/>
      <c r="AN22" s="2"/>
      <c r="AO22" s="2"/>
      <c r="AP22" s="2"/>
      <c r="AQ22" s="2"/>
    </row>
    <row r="23" spans="1:43" ht="15.75" thickBot="1" x14ac:dyDescent="0.3">
      <c r="A23" s="3"/>
      <c r="B23" s="4"/>
      <c r="C23" s="2"/>
      <c r="D23" s="2"/>
      <c r="E23" s="2"/>
      <c r="F23" s="23"/>
      <c r="G23" s="2"/>
      <c r="H23" s="2"/>
      <c r="I23" s="2"/>
      <c r="J23" s="2"/>
      <c r="K23" s="2"/>
      <c r="L23" s="2"/>
      <c r="M23" s="2"/>
      <c r="N23" s="2"/>
      <c r="O23" s="2"/>
      <c r="P23" s="2"/>
      <c r="Q23" s="22"/>
      <c r="R23" s="22"/>
      <c r="S23" s="22"/>
      <c r="T23" s="2"/>
      <c r="U23" s="23"/>
      <c r="V23" s="22"/>
      <c r="W23" s="22"/>
      <c r="X23" s="22"/>
      <c r="Y23" s="23"/>
      <c r="Z23" s="25"/>
      <c r="AA23" s="25"/>
      <c r="AB23" s="2"/>
      <c r="AC23" s="2"/>
      <c r="AD23" s="2"/>
      <c r="AE23" s="2"/>
      <c r="AF23" s="2"/>
      <c r="AG23" s="2"/>
      <c r="AH23" s="2"/>
      <c r="AI23" s="2"/>
      <c r="AJ23" s="2"/>
      <c r="AK23" s="31"/>
      <c r="AL23" s="2"/>
      <c r="AM23" s="2"/>
      <c r="AN23" s="2"/>
      <c r="AO23" s="2"/>
      <c r="AP23" s="2"/>
      <c r="AQ23" s="2"/>
    </row>
    <row r="24" spans="1:43" ht="15.75" thickBot="1" x14ac:dyDescent="0.3">
      <c r="A24" s="3"/>
      <c r="B24" s="4"/>
      <c r="C24" s="2"/>
      <c r="D24" s="2"/>
      <c r="E24" s="2"/>
      <c r="F24" s="23"/>
      <c r="G24" s="2"/>
      <c r="H24" s="2"/>
      <c r="I24" s="2"/>
      <c r="J24" s="2"/>
      <c r="K24" s="2"/>
      <c r="L24" s="2"/>
      <c r="M24" s="2"/>
      <c r="N24" s="2"/>
      <c r="O24" s="2"/>
      <c r="P24" s="2"/>
      <c r="Q24" s="22"/>
      <c r="R24" s="22"/>
      <c r="S24" s="22"/>
      <c r="T24" s="2"/>
      <c r="U24" s="23"/>
      <c r="V24" s="22"/>
      <c r="W24" s="22"/>
      <c r="X24" s="22"/>
      <c r="Y24" s="23"/>
      <c r="Z24" s="25"/>
      <c r="AA24" s="25"/>
      <c r="AB24" s="2"/>
      <c r="AC24" s="2"/>
      <c r="AD24" s="2"/>
      <c r="AE24" s="2"/>
      <c r="AF24" s="2"/>
      <c r="AG24" s="2"/>
      <c r="AH24" s="2"/>
      <c r="AI24" s="2"/>
      <c r="AJ24" s="2"/>
      <c r="AK24" s="31"/>
      <c r="AL24" s="2"/>
      <c r="AM24" s="2"/>
      <c r="AN24" s="2"/>
      <c r="AO24" s="2"/>
      <c r="AP24" s="2"/>
      <c r="AQ24" s="2"/>
    </row>
    <row r="25" spans="1:43" ht="15.75" thickBot="1" x14ac:dyDescent="0.3">
      <c r="A25" s="3"/>
      <c r="B25" s="5" t="s">
        <v>38</v>
      </c>
      <c r="C25" s="2"/>
      <c r="D25" s="2"/>
      <c r="E25" s="2"/>
      <c r="F25" s="23"/>
      <c r="G25" s="2"/>
      <c r="H25" s="2"/>
      <c r="I25" s="2"/>
      <c r="J25" s="2"/>
      <c r="K25" s="2"/>
      <c r="L25" s="2"/>
      <c r="M25" s="2"/>
      <c r="N25" s="2"/>
      <c r="O25" s="2"/>
      <c r="P25" s="2"/>
      <c r="Q25" s="2"/>
      <c r="R25" s="22"/>
      <c r="S25" s="22"/>
      <c r="T25" s="2"/>
      <c r="U25" s="23"/>
      <c r="V25" s="22"/>
      <c r="W25" s="22"/>
      <c r="X25" s="22"/>
      <c r="Y25" s="23"/>
      <c r="Z25" s="25"/>
      <c r="AA25" s="25"/>
      <c r="AB25" s="2"/>
      <c r="AC25" s="2"/>
      <c r="AD25" s="2"/>
      <c r="AE25" s="2"/>
      <c r="AF25" s="2"/>
      <c r="AG25" s="2"/>
      <c r="AH25" s="2"/>
      <c r="AI25" s="2"/>
      <c r="AJ25" s="2"/>
      <c r="AK25" s="31"/>
      <c r="AL25" s="2"/>
      <c r="AM25" s="2"/>
      <c r="AN25" s="2"/>
      <c r="AO25" s="2"/>
      <c r="AP25" s="2"/>
      <c r="AQ25" s="2"/>
    </row>
    <row r="26" spans="1:43" x14ac:dyDescent="0.25">
      <c r="A26" s="7"/>
    </row>
    <row r="27" spans="1:43" ht="16.5" customHeight="1" x14ac:dyDescent="0.25">
      <c r="A27" s="8"/>
      <c r="B27" s="9"/>
      <c r="AI27" s="630" t="s">
        <v>133</v>
      </c>
      <c r="AJ27" s="630"/>
      <c r="AK27" s="630"/>
      <c r="AL27" s="630"/>
      <c r="AM27" s="630"/>
      <c r="AN27" s="630"/>
      <c r="AO27" s="64"/>
      <c r="AP27" s="64"/>
    </row>
    <row r="28" spans="1:43" ht="18.75" x14ac:dyDescent="0.3">
      <c r="A28" s="59" t="s">
        <v>39</v>
      </c>
      <c r="B28" s="10"/>
      <c r="AI28" s="631" t="s">
        <v>131</v>
      </c>
      <c r="AJ28" s="631"/>
      <c r="AK28" s="631"/>
      <c r="AL28" s="631"/>
      <c r="AM28" s="631"/>
      <c r="AN28" s="631"/>
      <c r="AO28" s="65"/>
      <c r="AP28" s="65"/>
    </row>
    <row r="29" spans="1:43" x14ac:dyDescent="0.25">
      <c r="A29" s="60" t="s">
        <v>40</v>
      </c>
      <c r="B29" s="11"/>
    </row>
    <row r="30" spans="1:43" x14ac:dyDescent="0.25">
      <c r="A30" s="60" t="s">
        <v>41</v>
      </c>
      <c r="B30" s="12"/>
    </row>
    <row r="31" spans="1:43" x14ac:dyDescent="0.25">
      <c r="A31" s="60"/>
      <c r="B31" s="12"/>
    </row>
    <row r="32" spans="1:43" x14ac:dyDescent="0.25">
      <c r="A32" s="13"/>
    </row>
    <row r="33" spans="1:42" x14ac:dyDescent="0.25">
      <c r="A33" s="7"/>
    </row>
    <row r="34" spans="1:42" ht="18.75" x14ac:dyDescent="0.3">
      <c r="A34" s="13"/>
      <c r="AI34" s="632" t="s">
        <v>132</v>
      </c>
      <c r="AJ34" s="632"/>
      <c r="AK34" s="632"/>
      <c r="AL34" s="632"/>
      <c r="AM34" s="632"/>
      <c r="AN34" s="632"/>
      <c r="AO34" s="61"/>
      <c r="AP34" s="61"/>
    </row>
    <row r="35" spans="1:42" x14ac:dyDescent="0.25">
      <c r="A35" s="13" t="s">
        <v>42</v>
      </c>
      <c r="R35" s="48"/>
      <c r="S35" s="49"/>
      <c r="T35" s="49"/>
      <c r="U35" s="52"/>
      <c r="V35" s="53"/>
      <c r="W35" s="54"/>
      <c r="X35" s="49"/>
      <c r="Y35" s="50"/>
      <c r="Z35" s="51"/>
      <c r="AA35" s="51"/>
    </row>
    <row r="36" spans="1:42" s="19" customFormat="1" ht="18.75" customHeight="1" x14ac:dyDescent="0.25">
      <c r="A36" s="733" t="s">
        <v>68</v>
      </c>
      <c r="B36" s="733"/>
      <c r="C36" s="733"/>
      <c r="D36" s="733"/>
      <c r="E36" s="733"/>
      <c r="F36" s="733"/>
      <c r="G36" s="733"/>
      <c r="H36" s="733"/>
      <c r="I36" s="733" t="s">
        <v>69</v>
      </c>
      <c r="J36" s="733"/>
      <c r="K36" s="733"/>
      <c r="L36" s="733"/>
      <c r="M36" s="733"/>
      <c r="N36" s="733"/>
      <c r="O36" s="733"/>
      <c r="P36" s="733"/>
      <c r="R36"/>
      <c r="S36"/>
      <c r="T36"/>
      <c r="U36"/>
      <c r="V36"/>
      <c r="W36"/>
      <c r="X36"/>
      <c r="Y36"/>
      <c r="Z36"/>
      <c r="AA36"/>
    </row>
    <row r="37" spans="1:42" s="19" customFormat="1" ht="18.75" customHeight="1" x14ac:dyDescent="0.25">
      <c r="A37" s="733" t="s">
        <v>70</v>
      </c>
      <c r="B37" s="733"/>
      <c r="C37" s="733"/>
      <c r="D37" s="733"/>
      <c r="E37" s="733"/>
      <c r="F37" s="733"/>
      <c r="G37" s="733"/>
      <c r="H37" s="733"/>
      <c r="I37" s="733" t="s">
        <v>71</v>
      </c>
      <c r="J37" s="733"/>
      <c r="K37" s="733"/>
      <c r="L37" s="733"/>
      <c r="M37" s="733"/>
      <c r="N37" s="733"/>
      <c r="O37" s="733"/>
      <c r="P37" s="733"/>
      <c r="R37"/>
      <c r="S37"/>
      <c r="T37"/>
      <c r="U37"/>
      <c r="V37"/>
      <c r="W37"/>
      <c r="X37"/>
      <c r="Y37"/>
      <c r="Z37"/>
      <c r="AA37"/>
    </row>
    <row r="38" spans="1:42" s="19" customFormat="1" ht="18.75" customHeight="1" x14ac:dyDescent="0.25">
      <c r="A38" s="733" t="s">
        <v>55</v>
      </c>
      <c r="B38" s="733"/>
      <c r="C38" s="733"/>
      <c r="D38" s="733"/>
      <c r="E38" s="733"/>
      <c r="F38" s="733"/>
      <c r="G38" s="733"/>
      <c r="H38" s="733"/>
      <c r="I38" s="733" t="s">
        <v>72</v>
      </c>
      <c r="J38" s="733"/>
      <c r="K38" s="733"/>
      <c r="L38" s="733"/>
      <c r="M38" s="733"/>
      <c r="N38" s="733"/>
      <c r="O38" s="733"/>
      <c r="P38" s="733"/>
      <c r="R38"/>
      <c r="S38"/>
      <c r="T38"/>
      <c r="U38"/>
      <c r="V38"/>
      <c r="W38"/>
      <c r="X38"/>
      <c r="Y38"/>
      <c r="Z38"/>
      <c r="AA38"/>
    </row>
    <row r="39" spans="1:42" s="19" customFormat="1" ht="18.75" customHeight="1" x14ac:dyDescent="0.25">
      <c r="A39" s="733" t="s">
        <v>73</v>
      </c>
      <c r="B39" s="733"/>
      <c r="C39" s="733"/>
      <c r="D39" s="733"/>
      <c r="E39" s="733"/>
      <c r="F39" s="733"/>
      <c r="G39" s="733"/>
      <c r="H39" s="733"/>
      <c r="I39" s="733"/>
      <c r="J39" s="733"/>
      <c r="K39" s="733"/>
      <c r="L39" s="733"/>
      <c r="M39" s="733"/>
      <c r="N39" s="733"/>
      <c r="O39" s="733"/>
      <c r="P39" s="733"/>
      <c r="R39"/>
      <c r="S39"/>
      <c r="T39"/>
      <c r="U39"/>
      <c r="V39"/>
      <c r="W39"/>
      <c r="X39"/>
      <c r="Y39"/>
      <c r="Z39"/>
      <c r="AA39"/>
    </row>
    <row r="40" spans="1:42" s="19" customFormat="1" ht="18.75" customHeight="1" x14ac:dyDescent="0.25">
      <c r="A40" s="733" t="s">
        <v>74</v>
      </c>
      <c r="B40" s="733"/>
      <c r="C40" s="733"/>
      <c r="D40" s="733"/>
      <c r="E40" s="733"/>
      <c r="F40" s="733"/>
      <c r="G40" s="733"/>
      <c r="H40" s="733"/>
      <c r="I40" s="733"/>
      <c r="J40" s="733"/>
      <c r="K40" s="733"/>
      <c r="L40" s="733"/>
      <c r="M40" s="733"/>
      <c r="N40" s="733"/>
      <c r="O40" s="733"/>
      <c r="P40" s="733"/>
      <c r="R40"/>
      <c r="S40"/>
      <c r="T40"/>
      <c r="U40"/>
      <c r="V40"/>
      <c r="W40"/>
      <c r="X40"/>
      <c r="Y40"/>
      <c r="Z40"/>
      <c r="AA40"/>
    </row>
  </sheetData>
  <mergeCells count="40">
    <mergeCell ref="A38:H38"/>
    <mergeCell ref="A39:H39"/>
    <mergeCell ref="A40:H40"/>
    <mergeCell ref="I36:P36"/>
    <mergeCell ref="I37:P37"/>
    <mergeCell ref="I38:P38"/>
    <mergeCell ref="I39:P39"/>
    <mergeCell ref="I40:P40"/>
    <mergeCell ref="A37:H37"/>
    <mergeCell ref="A36:H36"/>
    <mergeCell ref="A7:A8"/>
    <mergeCell ref="H7:I7"/>
    <mergeCell ref="AI34:AN34"/>
    <mergeCell ref="AJ7:AJ8"/>
    <mergeCell ref="AF7:AH7"/>
    <mergeCell ref="AI27:AN27"/>
    <mergeCell ref="AI28:AN28"/>
    <mergeCell ref="AI7:AI8"/>
    <mergeCell ref="AK7:AP7"/>
    <mergeCell ref="D7:D8"/>
    <mergeCell ref="E7:E8"/>
    <mergeCell ref="L7:M7"/>
    <mergeCell ref="N7:O7"/>
    <mergeCell ref="P7:Q7"/>
    <mergeCell ref="A1:AQ1"/>
    <mergeCell ref="A2:AQ2"/>
    <mergeCell ref="A5:AQ5"/>
    <mergeCell ref="A6:AQ6"/>
    <mergeCell ref="AC7:AC8"/>
    <mergeCell ref="AD7:AD8"/>
    <mergeCell ref="AE7:AE8"/>
    <mergeCell ref="R7:AA7"/>
    <mergeCell ref="J7:K7"/>
    <mergeCell ref="AQ7:AQ8"/>
    <mergeCell ref="B7:B8"/>
    <mergeCell ref="C7:C8"/>
    <mergeCell ref="F7:G7"/>
    <mergeCell ref="A3:C3"/>
    <mergeCell ref="A4:C4"/>
    <mergeCell ref="AB7:AB8"/>
  </mergeCells>
  <phoneticPr fontId="22"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M31"/>
  <sheetViews>
    <sheetView topLeftCell="A7" workbookViewId="0">
      <selection activeCell="M12" sqref="M12:O12"/>
    </sheetView>
  </sheetViews>
  <sheetFormatPr defaultRowHeight="15" x14ac:dyDescent="0.25"/>
  <sheetData>
    <row r="1" spans="1:39" ht="15.75" x14ac:dyDescent="0.25">
      <c r="A1" s="14" t="s">
        <v>104</v>
      </c>
    </row>
    <row r="2" spans="1:39" x14ac:dyDescent="0.25">
      <c r="A2" s="15" t="s">
        <v>0</v>
      </c>
    </row>
    <row r="3" spans="1:39" x14ac:dyDescent="0.25">
      <c r="A3" s="729" t="s">
        <v>134</v>
      </c>
      <c r="B3" s="729"/>
      <c r="C3" s="729"/>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62"/>
      <c r="AM3" s="62"/>
    </row>
    <row r="4" spans="1:39" x14ac:dyDescent="0.25">
      <c r="A4" s="729" t="s">
        <v>135</v>
      </c>
      <c r="B4" s="729"/>
      <c r="C4" s="729"/>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row>
    <row r="5" spans="1:39" ht="15.75" thickBot="1" x14ac:dyDescent="0.3">
      <c r="A5" s="734" t="s">
        <v>105</v>
      </c>
      <c r="B5" s="734"/>
      <c r="C5" s="734"/>
      <c r="D5" s="734"/>
      <c r="E5" s="734"/>
      <c r="F5" s="734"/>
      <c r="G5" s="734"/>
      <c r="H5" s="734"/>
      <c r="I5" s="734"/>
      <c r="J5" s="734"/>
      <c r="K5" s="734"/>
      <c r="L5" s="734"/>
    </row>
    <row r="6" spans="1:39" ht="25.5" customHeight="1" thickBot="1" x14ac:dyDescent="0.3">
      <c r="A6" s="735" t="s">
        <v>3</v>
      </c>
      <c r="B6" s="735" t="s">
        <v>106</v>
      </c>
      <c r="C6" s="737" t="s">
        <v>107</v>
      </c>
      <c r="D6" s="738"/>
      <c r="E6" s="738"/>
      <c r="F6" s="738"/>
      <c r="G6" s="739"/>
      <c r="H6" s="737" t="s">
        <v>108</v>
      </c>
      <c r="I6" s="738"/>
      <c r="J6" s="738"/>
      <c r="K6" s="738"/>
      <c r="L6" s="739"/>
    </row>
    <row r="7" spans="1:39" ht="153.75" thickBot="1" x14ac:dyDescent="0.3">
      <c r="A7" s="736"/>
      <c r="B7" s="736"/>
      <c r="C7" s="55" t="s">
        <v>22</v>
      </c>
      <c r="D7" s="55" t="s">
        <v>78</v>
      </c>
      <c r="E7" s="55" t="s">
        <v>109</v>
      </c>
      <c r="F7" s="55" t="s">
        <v>80</v>
      </c>
      <c r="G7" s="55" t="s">
        <v>110</v>
      </c>
      <c r="H7" s="55" t="s">
        <v>24</v>
      </c>
      <c r="I7" s="55" t="s">
        <v>111</v>
      </c>
      <c r="J7" s="55" t="s">
        <v>112</v>
      </c>
      <c r="K7" s="55" t="s">
        <v>113</v>
      </c>
      <c r="L7" s="55" t="s">
        <v>114</v>
      </c>
    </row>
    <row r="8" spans="1:39" ht="15.75" thickBot="1" x14ac:dyDescent="0.3">
      <c r="A8" s="56"/>
      <c r="B8" s="55" t="s">
        <v>28</v>
      </c>
      <c r="C8" s="55">
        <v>1</v>
      </c>
      <c r="D8" s="55">
        <v>2</v>
      </c>
      <c r="E8" s="55">
        <v>3</v>
      </c>
      <c r="F8" s="55">
        <v>4</v>
      </c>
      <c r="G8" s="55">
        <v>5</v>
      </c>
      <c r="H8" s="55">
        <v>6</v>
      </c>
      <c r="I8" s="55">
        <v>7</v>
      </c>
      <c r="J8" s="55">
        <v>8</v>
      </c>
      <c r="K8" s="55">
        <v>9</v>
      </c>
      <c r="L8" s="55">
        <v>10</v>
      </c>
    </row>
    <row r="9" spans="1:39" ht="39" thickBot="1" x14ac:dyDescent="0.3">
      <c r="A9" s="56" t="s">
        <v>29</v>
      </c>
      <c r="B9" s="57" t="s">
        <v>30</v>
      </c>
      <c r="C9" s="55"/>
      <c r="D9" s="55"/>
      <c r="E9" s="55"/>
      <c r="F9" s="55"/>
      <c r="G9" s="55"/>
      <c r="H9" s="55"/>
      <c r="I9" s="55"/>
      <c r="J9" s="55"/>
      <c r="K9" s="55"/>
      <c r="L9" s="55"/>
    </row>
    <row r="10" spans="1:39" ht="15.75" thickBot="1" x14ac:dyDescent="0.3">
      <c r="A10" s="56"/>
      <c r="B10" s="57" t="s">
        <v>31</v>
      </c>
      <c r="C10" s="55"/>
      <c r="D10" s="55"/>
      <c r="E10" s="55"/>
      <c r="F10" s="55"/>
      <c r="G10" s="55"/>
      <c r="H10" s="55"/>
      <c r="I10" s="55"/>
      <c r="J10" s="55"/>
      <c r="K10" s="55"/>
      <c r="L10" s="55"/>
    </row>
    <row r="11" spans="1:39" ht="26.25" thickBot="1" x14ac:dyDescent="0.3">
      <c r="A11" s="56" t="s">
        <v>32</v>
      </c>
      <c r="B11" s="57" t="s">
        <v>33</v>
      </c>
      <c r="C11" s="55"/>
      <c r="D11" s="55"/>
      <c r="E11" s="55"/>
      <c r="F11" s="55"/>
      <c r="G11" s="55"/>
      <c r="H11" s="55"/>
      <c r="I11" s="55"/>
      <c r="J11" s="55"/>
      <c r="K11" s="55"/>
      <c r="L11" s="55"/>
    </row>
    <row r="12" spans="1:39" ht="15.75" thickBot="1" x14ac:dyDescent="0.3">
      <c r="A12" s="56"/>
      <c r="B12" s="57" t="s">
        <v>31</v>
      </c>
      <c r="C12" s="55"/>
      <c r="D12" s="55"/>
      <c r="E12" s="55"/>
      <c r="F12" s="55"/>
      <c r="G12" s="55"/>
      <c r="H12" s="55"/>
      <c r="I12" s="55"/>
      <c r="J12" s="55"/>
      <c r="K12" s="55"/>
      <c r="L12" s="55"/>
    </row>
    <row r="13" spans="1:39" ht="39" thickBot="1" x14ac:dyDescent="0.3">
      <c r="A13" s="56" t="s">
        <v>34</v>
      </c>
      <c r="B13" s="57" t="s">
        <v>35</v>
      </c>
      <c r="C13" s="55"/>
      <c r="D13" s="55"/>
      <c r="E13" s="55"/>
      <c r="F13" s="55"/>
      <c r="G13" s="55"/>
      <c r="H13" s="55"/>
      <c r="I13" s="55"/>
      <c r="J13" s="55"/>
      <c r="K13" s="55"/>
      <c r="L13" s="55"/>
    </row>
    <row r="14" spans="1:39" ht="15.75" thickBot="1" x14ac:dyDescent="0.3">
      <c r="A14" s="56"/>
      <c r="B14" s="57" t="s">
        <v>31</v>
      </c>
      <c r="C14" s="55"/>
      <c r="D14" s="55"/>
      <c r="E14" s="55"/>
      <c r="F14" s="55"/>
      <c r="G14" s="55"/>
      <c r="H14" s="55"/>
      <c r="I14" s="55"/>
      <c r="J14" s="55"/>
      <c r="K14" s="55"/>
      <c r="L14" s="55"/>
    </row>
    <row r="15" spans="1:39" ht="26.25" thickBot="1" x14ac:dyDescent="0.3">
      <c r="A15" s="56" t="s">
        <v>36</v>
      </c>
      <c r="B15" s="57" t="s">
        <v>37</v>
      </c>
      <c r="C15" s="55"/>
      <c r="D15" s="55"/>
      <c r="E15" s="55"/>
      <c r="F15" s="55"/>
      <c r="G15" s="55"/>
      <c r="H15" s="55"/>
      <c r="I15" s="55"/>
      <c r="J15" s="55"/>
      <c r="K15" s="55"/>
      <c r="L15" s="55"/>
    </row>
    <row r="16" spans="1:39" ht="15.75" thickBot="1" x14ac:dyDescent="0.3">
      <c r="A16" s="56"/>
      <c r="B16" s="57" t="s">
        <v>31</v>
      </c>
      <c r="C16" s="55"/>
      <c r="D16" s="55"/>
      <c r="E16" s="55"/>
      <c r="F16" s="55"/>
      <c r="G16" s="55"/>
      <c r="H16" s="55"/>
      <c r="I16" s="55"/>
      <c r="J16" s="55"/>
      <c r="K16" s="55"/>
      <c r="L16" s="55"/>
    </row>
    <row r="17" spans="1:13" ht="26.25" thickBot="1" x14ac:dyDescent="0.3">
      <c r="A17" s="56"/>
      <c r="B17" s="58" t="s">
        <v>38</v>
      </c>
      <c r="C17" s="55"/>
      <c r="D17" s="55"/>
      <c r="E17" s="55"/>
      <c r="F17" s="55"/>
      <c r="G17" s="55"/>
      <c r="H17" s="55"/>
      <c r="I17" s="55"/>
      <c r="J17" s="55"/>
      <c r="K17" s="55"/>
      <c r="L17" s="55"/>
    </row>
    <row r="18" spans="1:13" x14ac:dyDescent="0.25">
      <c r="A18" s="7"/>
    </row>
    <row r="19" spans="1:13" ht="16.5" x14ac:dyDescent="0.25">
      <c r="A19" s="8"/>
      <c r="B19" s="9"/>
      <c r="H19" s="630" t="s">
        <v>133</v>
      </c>
      <c r="I19" s="630"/>
      <c r="J19" s="630"/>
      <c r="K19" s="630"/>
      <c r="L19" s="630"/>
      <c r="M19" s="630"/>
    </row>
    <row r="20" spans="1:13" ht="18.75" x14ac:dyDescent="0.3">
      <c r="A20" s="59" t="s">
        <v>39</v>
      </c>
      <c r="B20" s="10"/>
      <c r="H20" s="631" t="s">
        <v>131</v>
      </c>
      <c r="I20" s="631"/>
      <c r="J20" s="631"/>
      <c r="K20" s="631"/>
      <c r="L20" s="631"/>
      <c r="M20" s="631"/>
    </row>
    <row r="21" spans="1:13" x14ac:dyDescent="0.25">
      <c r="A21" s="60" t="s">
        <v>115</v>
      </c>
      <c r="B21" s="11"/>
    </row>
    <row r="22" spans="1:13" x14ac:dyDescent="0.25">
      <c r="A22" s="60" t="s">
        <v>116</v>
      </c>
      <c r="B22" s="12"/>
    </row>
    <row r="23" spans="1:13" x14ac:dyDescent="0.25">
      <c r="A23" s="13"/>
    </row>
    <row r="24" spans="1:13" x14ac:dyDescent="0.25">
      <c r="A24" s="7"/>
    </row>
    <row r="25" spans="1:13" x14ac:dyDescent="0.25">
      <c r="A25" s="7"/>
    </row>
    <row r="26" spans="1:13" ht="18.75" x14ac:dyDescent="0.3">
      <c r="A26" s="7"/>
      <c r="H26" s="632" t="s">
        <v>132</v>
      </c>
      <c r="I26" s="632"/>
      <c r="J26" s="632"/>
      <c r="K26" s="632"/>
      <c r="L26" s="632"/>
      <c r="M26" s="632"/>
    </row>
    <row r="28" spans="1:13" x14ac:dyDescent="0.25">
      <c r="A28" s="13" t="s">
        <v>42</v>
      </c>
    </row>
    <row r="29" spans="1:13" x14ac:dyDescent="0.25">
      <c r="A29" s="7" t="s">
        <v>117</v>
      </c>
    </row>
    <row r="30" spans="1:13" x14ac:dyDescent="0.25">
      <c r="A30" s="7" t="s">
        <v>118</v>
      </c>
    </row>
    <row r="31" spans="1:13" x14ac:dyDescent="0.25">
      <c r="A31" s="7" t="s">
        <v>119</v>
      </c>
    </row>
  </sheetData>
  <mergeCells count="10">
    <mergeCell ref="A3:C3"/>
    <mergeCell ref="A4:C4"/>
    <mergeCell ref="A5:L5"/>
    <mergeCell ref="H19:M19"/>
    <mergeCell ref="H26:M26"/>
    <mergeCell ref="A6:A7"/>
    <mergeCell ref="B6:B7"/>
    <mergeCell ref="C6:G6"/>
    <mergeCell ref="H6:L6"/>
    <mergeCell ref="H20:M20"/>
  </mergeCells>
  <phoneticPr fontId="22"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27"/>
  <sheetViews>
    <sheetView workbookViewId="0">
      <selection activeCell="M12" sqref="M12:O12"/>
    </sheetView>
  </sheetViews>
  <sheetFormatPr defaultRowHeight="15" x14ac:dyDescent="0.25"/>
  <cols>
    <col min="3" max="5" width="33.85546875" customWidth="1"/>
  </cols>
  <sheetData>
    <row r="1" spans="1:5" ht="15.75" x14ac:dyDescent="0.25">
      <c r="A1" s="14" t="s">
        <v>120</v>
      </c>
    </row>
    <row r="2" spans="1:5" x14ac:dyDescent="0.25">
      <c r="A2" s="15" t="s">
        <v>0</v>
      </c>
    </row>
    <row r="3" spans="1:5" x14ac:dyDescent="0.25">
      <c r="A3" s="17" t="s">
        <v>1</v>
      </c>
    </row>
    <row r="4" spans="1:5" ht="15.75" thickBot="1" x14ac:dyDescent="0.3">
      <c r="A4" s="16" t="s">
        <v>121</v>
      </c>
    </row>
    <row r="5" spans="1:5" ht="38.25" customHeight="1" thickBot="1" x14ac:dyDescent="0.3">
      <c r="A5" s="735" t="s">
        <v>3</v>
      </c>
      <c r="B5" s="735" t="s">
        <v>122</v>
      </c>
      <c r="C5" s="737" t="s">
        <v>123</v>
      </c>
      <c r="D5" s="738"/>
      <c r="E5" s="739"/>
    </row>
    <row r="6" spans="1:5" ht="26.25" thickBot="1" x14ac:dyDescent="0.3">
      <c r="A6" s="736"/>
      <c r="B6" s="736"/>
      <c r="C6" s="55" t="s">
        <v>22</v>
      </c>
      <c r="D6" s="55" t="s">
        <v>124</v>
      </c>
      <c r="E6" s="55" t="s">
        <v>125</v>
      </c>
    </row>
    <row r="7" spans="1:5" ht="15.75" thickBot="1" x14ac:dyDescent="0.3">
      <c r="A7" s="56"/>
      <c r="B7" s="55" t="s">
        <v>28</v>
      </c>
      <c r="C7" s="55">
        <v>1</v>
      </c>
      <c r="D7" s="55">
        <v>2</v>
      </c>
      <c r="E7" s="55">
        <v>3</v>
      </c>
    </row>
    <row r="8" spans="1:5" ht="39" thickBot="1" x14ac:dyDescent="0.3">
      <c r="A8" s="56" t="s">
        <v>29</v>
      </c>
      <c r="B8" s="57" t="s">
        <v>30</v>
      </c>
      <c r="C8" s="55"/>
      <c r="D8" s="55"/>
      <c r="E8" s="55"/>
    </row>
    <row r="9" spans="1:5" ht="15.75" thickBot="1" x14ac:dyDescent="0.3">
      <c r="A9" s="56"/>
      <c r="B9" s="57" t="s">
        <v>31</v>
      </c>
      <c r="C9" s="55"/>
      <c r="D9" s="55"/>
      <c r="E9" s="55"/>
    </row>
    <row r="10" spans="1:5" ht="15.75" thickBot="1" x14ac:dyDescent="0.3">
      <c r="A10" s="56"/>
      <c r="B10" s="57"/>
      <c r="C10" s="55"/>
      <c r="D10" s="55"/>
      <c r="E10" s="55"/>
    </row>
    <row r="11" spans="1:5" ht="26.25" thickBot="1" x14ac:dyDescent="0.3">
      <c r="A11" s="56" t="s">
        <v>32</v>
      </c>
      <c r="B11" s="57" t="s">
        <v>33</v>
      </c>
      <c r="C11" s="55"/>
      <c r="D11" s="55"/>
      <c r="E11" s="55"/>
    </row>
    <row r="12" spans="1:5" ht="15.75" thickBot="1" x14ac:dyDescent="0.3">
      <c r="A12" s="56"/>
      <c r="B12" s="57" t="s">
        <v>126</v>
      </c>
      <c r="C12" s="55"/>
      <c r="D12" s="55"/>
      <c r="E12" s="55"/>
    </row>
    <row r="13" spans="1:5" ht="15.75" thickBot="1" x14ac:dyDescent="0.3">
      <c r="A13" s="56"/>
      <c r="B13" s="57"/>
      <c r="C13" s="55"/>
      <c r="D13" s="55"/>
      <c r="E13" s="55"/>
    </row>
    <row r="14" spans="1:5" ht="15.75" thickBot="1" x14ac:dyDescent="0.3">
      <c r="A14" s="56"/>
      <c r="B14" s="57"/>
      <c r="C14" s="55"/>
      <c r="D14" s="55"/>
      <c r="E14" s="55"/>
    </row>
    <row r="15" spans="1:5" ht="26.25" thickBot="1" x14ac:dyDescent="0.3">
      <c r="A15" s="56"/>
      <c r="B15" s="57" t="s">
        <v>127</v>
      </c>
      <c r="C15" s="55"/>
      <c r="D15" s="55"/>
      <c r="E15" s="55"/>
    </row>
    <row r="16" spans="1:5" x14ac:dyDescent="0.25">
      <c r="A16" s="7"/>
    </row>
    <row r="17" spans="1:13" ht="16.5" x14ac:dyDescent="0.25">
      <c r="A17" s="8"/>
      <c r="B17" s="9"/>
      <c r="D17" s="647" t="s">
        <v>133</v>
      </c>
      <c r="E17" s="647"/>
      <c r="H17" s="66"/>
      <c r="I17" s="66"/>
      <c r="J17" s="66"/>
      <c r="K17" s="66"/>
      <c r="L17" s="66"/>
      <c r="M17" s="66"/>
    </row>
    <row r="18" spans="1:13" ht="18.75" x14ac:dyDescent="0.3">
      <c r="A18" s="59" t="s">
        <v>39</v>
      </c>
      <c r="B18" s="10"/>
      <c r="D18" s="631" t="s">
        <v>131</v>
      </c>
      <c r="E18" s="631"/>
      <c r="H18" s="65"/>
      <c r="I18" s="65"/>
      <c r="J18" s="65"/>
      <c r="K18" s="65"/>
      <c r="L18" s="65"/>
      <c r="M18" s="65"/>
    </row>
    <row r="19" spans="1:13" x14ac:dyDescent="0.25">
      <c r="A19" s="60" t="s">
        <v>136</v>
      </c>
      <c r="B19" s="11"/>
    </row>
    <row r="20" spans="1:13" x14ac:dyDescent="0.25">
      <c r="A20" s="60" t="s">
        <v>137</v>
      </c>
      <c r="B20" s="12"/>
    </row>
    <row r="21" spans="1:13" x14ac:dyDescent="0.25">
      <c r="A21" s="13"/>
    </row>
    <row r="22" spans="1:13" x14ac:dyDescent="0.25">
      <c r="A22" s="7"/>
    </row>
    <row r="23" spans="1:13" x14ac:dyDescent="0.25">
      <c r="A23" s="7"/>
    </row>
    <row r="24" spans="1:13" ht="18.75" x14ac:dyDescent="0.3">
      <c r="A24" s="7"/>
      <c r="D24" s="632" t="s">
        <v>132</v>
      </c>
      <c r="E24" s="632"/>
      <c r="H24" s="61"/>
      <c r="I24" s="61"/>
      <c r="J24" s="61"/>
      <c r="K24" s="61"/>
      <c r="L24" s="61"/>
      <c r="M24" s="61"/>
    </row>
    <row r="25" spans="1:13" x14ac:dyDescent="0.25">
      <c r="A25" s="13" t="s">
        <v>42</v>
      </c>
    </row>
    <row r="26" spans="1:13" x14ac:dyDescent="0.25">
      <c r="A26" s="7" t="s">
        <v>128</v>
      </c>
    </row>
    <row r="27" spans="1:13" x14ac:dyDescent="0.25">
      <c r="A27" s="7" t="s">
        <v>119</v>
      </c>
    </row>
  </sheetData>
  <mergeCells count="6">
    <mergeCell ref="D24:E24"/>
    <mergeCell ref="A5:A6"/>
    <mergeCell ref="B5:B6"/>
    <mergeCell ref="C5:E5"/>
    <mergeCell ref="D17:E17"/>
    <mergeCell ref="D18:E18"/>
  </mergeCells>
  <phoneticPr fontId="22"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M29"/>
  <sheetViews>
    <sheetView workbookViewId="0">
      <selection activeCell="M12" sqref="M12:O12"/>
    </sheetView>
  </sheetViews>
  <sheetFormatPr defaultRowHeight="15" x14ac:dyDescent="0.25"/>
  <sheetData>
    <row r="1" spans="1:39" ht="15.75" x14ac:dyDescent="0.25">
      <c r="A1" s="726" t="s">
        <v>129</v>
      </c>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row>
    <row r="2" spans="1:39" x14ac:dyDescent="0.25">
      <c r="A2" s="727" t="s">
        <v>0</v>
      </c>
      <c r="B2" s="727"/>
      <c r="C2" s="727"/>
      <c r="D2" s="727"/>
      <c r="E2" s="727"/>
      <c r="F2" s="727"/>
      <c r="G2" s="727"/>
      <c r="H2" s="727"/>
      <c r="I2" s="727"/>
      <c r="J2" s="727"/>
      <c r="K2" s="727"/>
      <c r="L2" s="727"/>
      <c r="M2" s="727"/>
      <c r="N2" s="727"/>
      <c r="O2" s="727"/>
      <c r="P2" s="727"/>
      <c r="Q2" s="727"/>
      <c r="R2" s="727"/>
      <c r="S2" s="727"/>
      <c r="T2" s="727"/>
      <c r="U2" s="727"/>
      <c r="V2" s="727"/>
      <c r="W2" s="727"/>
      <c r="X2" s="727"/>
      <c r="Y2" s="727"/>
      <c r="Z2" s="727"/>
      <c r="AA2" s="727"/>
      <c r="AB2" s="727"/>
    </row>
    <row r="3" spans="1:39" x14ac:dyDescent="0.25">
      <c r="A3" s="729" t="s">
        <v>134</v>
      </c>
      <c r="B3" s="729"/>
      <c r="C3" s="729"/>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62"/>
      <c r="AM3" s="62"/>
    </row>
    <row r="4" spans="1:39" x14ac:dyDescent="0.25">
      <c r="A4" s="729" t="s">
        <v>135</v>
      </c>
      <c r="B4" s="729"/>
      <c r="C4" s="729"/>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row>
    <row r="5" spans="1:39" x14ac:dyDescent="0.25">
      <c r="A5" s="729" t="s">
        <v>130</v>
      </c>
      <c r="B5" s="729"/>
      <c r="C5" s="729"/>
      <c r="D5" s="729"/>
      <c r="E5" s="729"/>
      <c r="F5" s="729"/>
      <c r="G5" s="729"/>
      <c r="H5" s="729"/>
      <c r="I5" s="729"/>
      <c r="J5" s="729"/>
      <c r="K5" s="729"/>
      <c r="L5" s="729"/>
      <c r="M5" s="729"/>
      <c r="N5" s="729"/>
      <c r="O5" s="729"/>
      <c r="P5" s="729"/>
      <c r="Q5" s="729"/>
      <c r="R5" s="729"/>
      <c r="S5" s="729"/>
      <c r="T5" s="729"/>
      <c r="U5" s="729"/>
      <c r="V5" s="729"/>
      <c r="W5" s="729"/>
      <c r="X5" s="729"/>
      <c r="Y5" s="729"/>
      <c r="Z5" s="729"/>
      <c r="AA5" s="729"/>
      <c r="AB5" s="729"/>
    </row>
    <row r="6" spans="1:39" ht="15.75" thickBot="1" x14ac:dyDescent="0.3">
      <c r="A6" s="730" t="s">
        <v>2</v>
      </c>
      <c r="B6" s="730"/>
      <c r="C6" s="730"/>
      <c r="D6" s="730"/>
      <c r="E6" s="730"/>
      <c r="F6" s="730"/>
      <c r="G6" s="730"/>
      <c r="H6" s="730"/>
      <c r="I6" s="730"/>
      <c r="J6" s="730"/>
      <c r="K6" s="730"/>
      <c r="L6" s="730"/>
      <c r="M6" s="730"/>
      <c r="N6" s="730"/>
      <c r="O6" s="730"/>
      <c r="P6" s="730"/>
      <c r="Q6" s="730"/>
      <c r="R6" s="730"/>
      <c r="S6" s="730"/>
      <c r="T6" s="730"/>
      <c r="U6" s="730"/>
      <c r="V6" s="730"/>
      <c r="W6" s="730"/>
      <c r="X6" s="730"/>
      <c r="Y6" s="730"/>
      <c r="Z6" s="730"/>
      <c r="AA6" s="730"/>
      <c r="AB6" s="730"/>
    </row>
    <row r="7" spans="1:39" ht="33.75" customHeight="1" thickBot="1" x14ac:dyDescent="0.3">
      <c r="A7" s="722" t="s">
        <v>3</v>
      </c>
      <c r="B7" s="722" t="s">
        <v>4</v>
      </c>
      <c r="C7" s="722" t="s">
        <v>5</v>
      </c>
      <c r="D7" s="722" t="s">
        <v>6</v>
      </c>
      <c r="E7" s="722" t="s">
        <v>7</v>
      </c>
      <c r="F7" s="724" t="s">
        <v>8</v>
      </c>
      <c r="G7" s="725"/>
      <c r="H7" s="724" t="s">
        <v>9</v>
      </c>
      <c r="I7" s="725"/>
      <c r="J7" s="724" t="s">
        <v>10</v>
      </c>
      <c r="K7" s="725"/>
      <c r="L7" s="724" t="s">
        <v>11</v>
      </c>
      <c r="M7" s="725"/>
      <c r="N7" s="724" t="s">
        <v>12</v>
      </c>
      <c r="O7" s="725"/>
      <c r="P7" s="724" t="s">
        <v>13</v>
      </c>
      <c r="Q7" s="725"/>
      <c r="R7" s="722" t="s">
        <v>53</v>
      </c>
      <c r="S7" s="722" t="s">
        <v>75</v>
      </c>
      <c r="T7" s="722" t="s">
        <v>14</v>
      </c>
      <c r="U7" s="722" t="s">
        <v>16</v>
      </c>
      <c r="V7" s="722" t="s">
        <v>15</v>
      </c>
      <c r="W7" s="742" t="s">
        <v>76</v>
      </c>
      <c r="X7" s="743"/>
      <c r="Y7" s="743"/>
      <c r="Z7" s="744"/>
      <c r="AA7" s="740" t="s">
        <v>77</v>
      </c>
      <c r="AB7" s="740" t="s">
        <v>17</v>
      </c>
    </row>
    <row r="8" spans="1:39" ht="102" thickBot="1" x14ac:dyDescent="0.3">
      <c r="A8" s="723"/>
      <c r="B8" s="723"/>
      <c r="C8" s="723"/>
      <c r="D8" s="723"/>
      <c r="E8" s="723"/>
      <c r="F8" s="1" t="s">
        <v>18</v>
      </c>
      <c r="G8" s="1" t="s">
        <v>19</v>
      </c>
      <c r="H8" s="1" t="s">
        <v>20</v>
      </c>
      <c r="I8" s="1" t="s">
        <v>19</v>
      </c>
      <c r="J8" s="1" t="s">
        <v>21</v>
      </c>
      <c r="K8" s="1" t="s">
        <v>19</v>
      </c>
      <c r="L8" s="1" t="s">
        <v>21</v>
      </c>
      <c r="M8" s="1" t="s">
        <v>19</v>
      </c>
      <c r="N8" s="1" t="s">
        <v>20</v>
      </c>
      <c r="O8" s="1" t="s">
        <v>19</v>
      </c>
      <c r="P8" s="1" t="s">
        <v>20</v>
      </c>
      <c r="Q8" s="1" t="s">
        <v>19</v>
      </c>
      <c r="R8" s="723"/>
      <c r="S8" s="723"/>
      <c r="T8" s="723"/>
      <c r="U8" s="723"/>
      <c r="V8" s="723"/>
      <c r="W8" s="2" t="s">
        <v>78</v>
      </c>
      <c r="X8" s="2" t="s">
        <v>79</v>
      </c>
      <c r="Y8" s="2" t="s">
        <v>80</v>
      </c>
      <c r="Z8" s="2" t="s">
        <v>81</v>
      </c>
      <c r="AA8" s="741"/>
      <c r="AB8" s="741"/>
    </row>
    <row r="9" spans="1:39" ht="15.75" thickBot="1" x14ac:dyDescent="0.3">
      <c r="A9" s="3"/>
      <c r="B9" s="2" t="s">
        <v>28</v>
      </c>
      <c r="C9" s="2">
        <v>1</v>
      </c>
      <c r="D9" s="2">
        <v>2</v>
      </c>
      <c r="E9" s="2">
        <v>3</v>
      </c>
      <c r="F9" s="2">
        <v>4</v>
      </c>
      <c r="G9" s="2">
        <v>5</v>
      </c>
      <c r="H9" s="2">
        <v>6</v>
      </c>
      <c r="I9" s="2">
        <v>7</v>
      </c>
      <c r="J9" s="2">
        <v>8</v>
      </c>
      <c r="K9" s="2">
        <v>9</v>
      </c>
      <c r="L9" s="2">
        <v>10</v>
      </c>
      <c r="M9" s="2">
        <v>11</v>
      </c>
      <c r="N9" s="2">
        <v>12</v>
      </c>
      <c r="O9" s="2">
        <v>13</v>
      </c>
      <c r="P9" s="2">
        <v>14</v>
      </c>
      <c r="Q9" s="2">
        <v>15</v>
      </c>
      <c r="R9" s="2">
        <v>16</v>
      </c>
      <c r="S9" s="2">
        <v>17</v>
      </c>
      <c r="T9" s="2">
        <v>18</v>
      </c>
      <c r="U9" s="2">
        <v>19</v>
      </c>
      <c r="V9" s="2">
        <v>20</v>
      </c>
      <c r="W9" s="2">
        <v>21</v>
      </c>
      <c r="X9" s="2">
        <v>22</v>
      </c>
      <c r="Y9" s="2">
        <v>23</v>
      </c>
      <c r="Z9" s="2">
        <v>24</v>
      </c>
      <c r="AA9" s="2">
        <v>25</v>
      </c>
      <c r="AB9" s="2">
        <v>26</v>
      </c>
    </row>
    <row r="10" spans="1:39" ht="23.25" thickBot="1" x14ac:dyDescent="0.3">
      <c r="A10" s="3" t="s">
        <v>29</v>
      </c>
      <c r="B10" s="4" t="s">
        <v>30</v>
      </c>
      <c r="C10" s="2"/>
      <c r="D10" s="2"/>
      <c r="E10" s="2"/>
      <c r="F10" s="2"/>
      <c r="G10" s="2"/>
      <c r="H10" s="2"/>
      <c r="I10" s="2"/>
      <c r="J10" s="2"/>
      <c r="K10" s="2"/>
      <c r="L10" s="2"/>
      <c r="M10" s="2"/>
      <c r="N10" s="2"/>
      <c r="O10" s="2"/>
      <c r="P10" s="2"/>
      <c r="Q10" s="2"/>
      <c r="R10" s="2"/>
      <c r="S10" s="2"/>
      <c r="T10" s="2"/>
      <c r="U10" s="2"/>
      <c r="V10" s="2"/>
      <c r="W10" s="2"/>
      <c r="X10" s="2"/>
      <c r="Y10" s="2"/>
      <c r="Z10" s="2"/>
      <c r="AA10" s="2"/>
      <c r="AB10" s="2"/>
    </row>
    <row r="11" spans="1:39" ht="15.75" thickBot="1" x14ac:dyDescent="0.3">
      <c r="A11" s="3"/>
      <c r="B11" s="4" t="s">
        <v>31</v>
      </c>
      <c r="C11" s="2"/>
      <c r="D11" s="2"/>
      <c r="E11" s="2"/>
      <c r="F11" s="2"/>
      <c r="G11" s="2"/>
      <c r="H11" s="2"/>
      <c r="I11" s="2"/>
      <c r="J11" s="2"/>
      <c r="K11" s="2"/>
      <c r="L11" s="2"/>
      <c r="M11" s="2"/>
      <c r="N11" s="2"/>
      <c r="O11" s="2"/>
      <c r="P11" s="2"/>
      <c r="Q11" s="2"/>
      <c r="R11" s="2"/>
      <c r="S11" s="2"/>
      <c r="T11" s="2"/>
      <c r="U11" s="2"/>
      <c r="V11" s="2"/>
      <c r="W11" s="2"/>
      <c r="X11" s="2"/>
      <c r="Y11" s="2"/>
      <c r="Z11" s="2"/>
      <c r="AA11" s="2"/>
      <c r="AB11" s="2"/>
    </row>
    <row r="12" spans="1:39" ht="23.25" thickBot="1" x14ac:dyDescent="0.3">
      <c r="A12" s="3" t="s">
        <v>32</v>
      </c>
      <c r="B12" s="4" t="s">
        <v>33</v>
      </c>
      <c r="C12" s="2"/>
      <c r="D12" s="2"/>
      <c r="E12" s="2"/>
      <c r="F12" s="2"/>
      <c r="G12" s="2"/>
      <c r="H12" s="2"/>
      <c r="I12" s="2"/>
      <c r="J12" s="2"/>
      <c r="K12" s="2"/>
      <c r="L12" s="2"/>
      <c r="M12" s="2"/>
      <c r="N12" s="2"/>
      <c r="O12" s="2"/>
      <c r="P12" s="2"/>
      <c r="Q12" s="2"/>
      <c r="R12" s="2"/>
      <c r="S12" s="2"/>
      <c r="T12" s="2"/>
      <c r="U12" s="2"/>
      <c r="V12" s="2"/>
      <c r="W12" s="2"/>
      <c r="X12" s="2"/>
      <c r="Y12" s="2"/>
      <c r="Z12" s="2"/>
      <c r="AA12" s="2"/>
      <c r="AB12" s="2"/>
    </row>
    <row r="13" spans="1:39" ht="15.75" thickBot="1" x14ac:dyDescent="0.3">
      <c r="A13" s="3"/>
      <c r="B13" s="4" t="s">
        <v>31</v>
      </c>
      <c r="C13" s="2"/>
      <c r="D13" s="2"/>
      <c r="E13" s="2"/>
      <c r="F13" s="2"/>
      <c r="G13" s="2"/>
      <c r="H13" s="2"/>
      <c r="I13" s="2"/>
      <c r="J13" s="2"/>
      <c r="K13" s="2"/>
      <c r="L13" s="2"/>
      <c r="M13" s="2"/>
      <c r="N13" s="2"/>
      <c r="O13" s="2"/>
      <c r="P13" s="2"/>
      <c r="Q13" s="2"/>
      <c r="R13" s="2"/>
      <c r="S13" s="2"/>
      <c r="T13" s="2"/>
      <c r="U13" s="2"/>
      <c r="V13" s="2"/>
      <c r="W13" s="2"/>
      <c r="X13" s="2"/>
      <c r="Y13" s="2"/>
      <c r="Z13" s="2"/>
      <c r="AA13" s="2"/>
      <c r="AB13" s="2"/>
    </row>
    <row r="14" spans="1:39" ht="23.25" thickBot="1" x14ac:dyDescent="0.3">
      <c r="A14" s="3" t="s">
        <v>34</v>
      </c>
      <c r="B14" s="4" t="s">
        <v>35</v>
      </c>
      <c r="C14" s="2"/>
      <c r="D14" s="2"/>
      <c r="E14" s="2"/>
      <c r="F14" s="2"/>
      <c r="G14" s="2"/>
      <c r="H14" s="2"/>
      <c r="I14" s="2"/>
      <c r="J14" s="2"/>
      <c r="K14" s="2"/>
      <c r="L14" s="2"/>
      <c r="M14" s="2"/>
      <c r="N14" s="2"/>
      <c r="O14" s="2"/>
      <c r="P14" s="2"/>
      <c r="Q14" s="2"/>
      <c r="R14" s="2"/>
      <c r="S14" s="2"/>
      <c r="T14" s="2"/>
      <c r="U14" s="2"/>
      <c r="V14" s="2"/>
      <c r="W14" s="2"/>
      <c r="X14" s="2"/>
      <c r="Y14" s="2"/>
      <c r="Z14" s="2"/>
      <c r="AA14" s="2"/>
      <c r="AB14" s="2"/>
    </row>
    <row r="15" spans="1:39" ht="15.75" thickBot="1" x14ac:dyDescent="0.3">
      <c r="A15" s="3"/>
      <c r="B15" s="4" t="s">
        <v>31</v>
      </c>
      <c r="C15" s="2"/>
      <c r="D15" s="2"/>
      <c r="E15" s="2"/>
      <c r="F15" s="2"/>
      <c r="G15" s="2"/>
      <c r="H15" s="2"/>
      <c r="I15" s="2"/>
      <c r="J15" s="2"/>
      <c r="K15" s="2"/>
      <c r="L15" s="2"/>
      <c r="M15" s="2"/>
      <c r="N15" s="2"/>
      <c r="O15" s="2"/>
      <c r="P15" s="2"/>
      <c r="Q15" s="2"/>
      <c r="R15" s="2"/>
      <c r="S15" s="2"/>
      <c r="T15" s="2"/>
      <c r="U15" s="2"/>
      <c r="V15" s="2"/>
      <c r="W15" s="2"/>
      <c r="X15" s="2"/>
      <c r="Y15" s="2"/>
      <c r="Z15" s="2"/>
      <c r="AA15" s="2"/>
      <c r="AB15" s="2"/>
    </row>
    <row r="16" spans="1:39" ht="23.25" thickBot="1" x14ac:dyDescent="0.3">
      <c r="A16" s="3" t="s">
        <v>36</v>
      </c>
      <c r="B16" s="4" t="s">
        <v>37</v>
      </c>
      <c r="C16" s="2"/>
      <c r="D16" s="2"/>
      <c r="E16" s="2"/>
      <c r="F16" s="2"/>
      <c r="G16" s="2"/>
      <c r="H16" s="2"/>
      <c r="I16" s="2"/>
      <c r="J16" s="2"/>
      <c r="K16" s="2"/>
      <c r="L16" s="2"/>
      <c r="M16" s="2"/>
      <c r="N16" s="2"/>
      <c r="O16" s="2"/>
      <c r="P16" s="2"/>
      <c r="Q16" s="2"/>
      <c r="R16" s="2"/>
      <c r="S16" s="2"/>
      <c r="T16" s="2"/>
      <c r="U16" s="2"/>
      <c r="V16" s="2"/>
      <c r="W16" s="2"/>
      <c r="X16" s="2"/>
      <c r="Y16" s="2"/>
      <c r="Z16" s="2"/>
      <c r="AA16" s="2"/>
      <c r="AB16" s="2"/>
    </row>
    <row r="17" spans="1:39" ht="15.75" thickBot="1" x14ac:dyDescent="0.3">
      <c r="A17" s="3"/>
      <c r="B17" s="4" t="s">
        <v>31</v>
      </c>
      <c r="C17" s="2"/>
      <c r="D17" s="2"/>
      <c r="E17" s="2"/>
      <c r="F17" s="2"/>
      <c r="G17" s="2"/>
      <c r="H17" s="2"/>
      <c r="I17" s="2"/>
      <c r="J17" s="2"/>
      <c r="K17" s="2"/>
      <c r="L17" s="2"/>
      <c r="M17" s="2"/>
      <c r="N17" s="2"/>
      <c r="O17" s="2"/>
      <c r="P17" s="2"/>
      <c r="Q17" s="2"/>
      <c r="R17" s="2"/>
      <c r="S17" s="2"/>
      <c r="T17" s="2"/>
      <c r="U17" s="2"/>
      <c r="V17" s="2"/>
      <c r="W17" s="2"/>
      <c r="X17" s="2"/>
      <c r="Y17" s="2"/>
      <c r="Z17" s="2"/>
      <c r="AA17" s="2"/>
      <c r="AB17" s="2"/>
    </row>
    <row r="18" spans="1:39" ht="23.25" thickBot="1" x14ac:dyDescent="0.3">
      <c r="A18" s="3"/>
      <c r="B18" s="5" t="s">
        <v>38</v>
      </c>
      <c r="C18" s="2"/>
      <c r="D18" s="2"/>
      <c r="E18" s="2"/>
      <c r="F18" s="2"/>
      <c r="G18" s="2"/>
      <c r="H18" s="2"/>
      <c r="I18" s="2"/>
      <c r="J18" s="2"/>
      <c r="K18" s="2"/>
      <c r="L18" s="2"/>
      <c r="M18" s="2"/>
      <c r="N18" s="2"/>
      <c r="O18" s="2"/>
      <c r="P18" s="2"/>
      <c r="Q18" s="2"/>
      <c r="R18" s="2"/>
      <c r="S18" s="2"/>
      <c r="T18" s="2"/>
      <c r="U18" s="2"/>
      <c r="V18" s="2"/>
      <c r="W18" s="2"/>
      <c r="X18" s="2"/>
      <c r="Y18" s="2"/>
      <c r="Z18" s="2"/>
      <c r="AA18" s="2"/>
      <c r="AB18" s="2"/>
    </row>
    <row r="19" spans="1:39" x14ac:dyDescent="0.25">
      <c r="A19" s="7"/>
    </row>
    <row r="20" spans="1:39" ht="16.5" customHeight="1" x14ac:dyDescent="0.25">
      <c r="A20" s="8"/>
      <c r="B20" s="9"/>
      <c r="AF20" s="630" t="s">
        <v>133</v>
      </c>
      <c r="AG20" s="630"/>
      <c r="AH20" s="630"/>
      <c r="AI20" s="630"/>
      <c r="AJ20" s="630"/>
      <c r="AK20" s="630"/>
      <c r="AL20" s="64"/>
      <c r="AM20" s="64"/>
    </row>
    <row r="21" spans="1:39" ht="18.75" x14ac:dyDescent="0.3">
      <c r="A21" s="59" t="s">
        <v>39</v>
      </c>
      <c r="B21" s="10"/>
      <c r="AF21" s="631" t="s">
        <v>131</v>
      </c>
      <c r="AG21" s="631"/>
      <c r="AH21" s="631"/>
      <c r="AI21" s="631"/>
      <c r="AJ21" s="631"/>
      <c r="AK21" s="631"/>
      <c r="AL21" s="65"/>
      <c r="AM21" s="65"/>
    </row>
    <row r="22" spans="1:39" x14ac:dyDescent="0.25">
      <c r="A22" s="60" t="s">
        <v>40</v>
      </c>
      <c r="B22" s="11"/>
    </row>
    <row r="23" spans="1:39" x14ac:dyDescent="0.25">
      <c r="A23" s="60" t="s">
        <v>41</v>
      </c>
      <c r="B23" s="12"/>
    </row>
    <row r="24" spans="1:39" x14ac:dyDescent="0.25">
      <c r="A24" s="60"/>
      <c r="B24" s="12"/>
    </row>
    <row r="25" spans="1:39" x14ac:dyDescent="0.25">
      <c r="A25" s="13"/>
    </row>
    <row r="26" spans="1:39" x14ac:dyDescent="0.25">
      <c r="A26" s="7"/>
    </row>
    <row r="27" spans="1:39" ht="18.75" x14ac:dyDescent="0.3">
      <c r="A27" s="13"/>
      <c r="AF27" s="632" t="s">
        <v>132</v>
      </c>
      <c r="AG27" s="632"/>
      <c r="AH27" s="632"/>
      <c r="AI27" s="632"/>
      <c r="AJ27" s="632"/>
      <c r="AK27" s="632"/>
      <c r="AL27" s="61"/>
      <c r="AM27" s="61"/>
    </row>
    <row r="28" spans="1:39" x14ac:dyDescent="0.25">
      <c r="A28" s="13" t="s">
        <v>42</v>
      </c>
    </row>
    <row r="29" spans="1:39" x14ac:dyDescent="0.25">
      <c r="A29" s="7" t="s">
        <v>82</v>
      </c>
    </row>
  </sheetData>
  <mergeCells count="28">
    <mergeCell ref="AF27:AK27"/>
    <mergeCell ref="A3:C3"/>
    <mergeCell ref="A4:C4"/>
    <mergeCell ref="A5:AB5"/>
    <mergeCell ref="A6:AB6"/>
    <mergeCell ref="S7:S8"/>
    <mergeCell ref="T7:T8"/>
    <mergeCell ref="U7:U8"/>
    <mergeCell ref="V7:V8"/>
    <mergeCell ref="W7:Z7"/>
    <mergeCell ref="AF21:AK21"/>
    <mergeCell ref="R7:R8"/>
    <mergeCell ref="A7:A8"/>
    <mergeCell ref="B7:B8"/>
    <mergeCell ref="C7:C8"/>
    <mergeCell ref="D7:D8"/>
    <mergeCell ref="E7:E8"/>
    <mergeCell ref="F7:G7"/>
    <mergeCell ref="AA7:AA8"/>
    <mergeCell ref="H7:I7"/>
    <mergeCell ref="A1:AB1"/>
    <mergeCell ref="A2:AB2"/>
    <mergeCell ref="AB7:AB8"/>
    <mergeCell ref="AF20:AK20"/>
    <mergeCell ref="J7:K7"/>
    <mergeCell ref="L7:M7"/>
    <mergeCell ref="N7:O7"/>
    <mergeCell ref="P7:Q7"/>
  </mergeCells>
  <phoneticPr fontId="2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5</vt:i4>
      </vt:variant>
    </vt:vector>
  </HeadingPairs>
  <TitlesOfParts>
    <vt:vector size="18" baseType="lpstr">
      <vt:lpstr>3- báo cáo</vt:lpstr>
      <vt:lpstr>KH</vt:lpstr>
      <vt:lpstr>1a-Trình BNV</vt:lpstr>
      <vt:lpstr>1c-Trình BNV</vt:lpstr>
      <vt:lpstr>Biểu 2 </vt:lpstr>
      <vt:lpstr>Hưu - chi tiết </vt:lpstr>
      <vt:lpstr>Hưu - chi tiết  (2)</vt:lpstr>
      <vt:lpstr>TVN-Chi tiết</vt:lpstr>
      <vt:lpstr>1b-Chuyển sang tổ chức</vt:lpstr>
      <vt:lpstr>1d-Thôi việc sau khi đi học</vt:lpstr>
      <vt:lpstr>3-Báo cáo</vt:lpstr>
      <vt:lpstr>4-Báo cáo</vt:lpstr>
      <vt:lpstr>5-Báo cáo</vt:lpstr>
      <vt:lpstr>'3- báo cáo'!Print_Area</vt:lpstr>
      <vt:lpstr>'1a-Trình BNV'!Print_Titles</vt:lpstr>
      <vt:lpstr>'1c-Trình BNV'!Print_Titles</vt:lpstr>
      <vt:lpstr>'3- báo cáo'!Print_Titles</vt:lpstr>
      <vt:lpstr>'Biểu 2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Quynh</dc:creator>
  <cp:lastModifiedBy>Administrator</cp:lastModifiedBy>
  <cp:lastPrinted>2026-10-12T09:08:13Z</cp:lastPrinted>
  <dcterms:created xsi:type="dcterms:W3CDTF">2015-05-19T07:54:18Z</dcterms:created>
  <dcterms:modified xsi:type="dcterms:W3CDTF">2026-10-13T03:22:21Z</dcterms:modified>
</cp:coreProperties>
</file>